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5030" windowHeight="7950" activeTab="3"/>
  </bookViews>
  <sheets>
    <sheet name="Staaaaaaaats" sheetId="2" r:id="rId1"/>
    <sheet name="GSAC" sheetId="12" r:id="rId2"/>
    <sheet name="Tourneys to Add" sheetId="1" r:id="rId3"/>
    <sheet name="Tourneys Added" sheetId="3" r:id="rId4"/>
    <sheet name="Teams at Tourneys" sheetId="5" r:id="rId5"/>
    <sheet name="ACF Fall" sheetId="7" r:id="rId6"/>
    <sheet name="BATE" sheetId="8" r:id="rId7"/>
    <sheet name="DAFT" sheetId="6" r:id="rId8"/>
    <sheet name="ISA" sheetId="11" r:id="rId9"/>
    <sheet name="Delta Burke" sheetId="9" r:id="rId10"/>
    <sheet name="FKT" sheetId="10" r:id="rId11"/>
    <sheet name="HFT" sheetId="4" r:id="rId12"/>
  </sheets>
  <definedNames>
    <definedName name="_xlnm._FilterDatabase" localSheetId="0" hidden="1">Staaaaaaaats!$A$1:$C$547</definedName>
  </definedNames>
  <calcPr calcId="124519"/>
</workbook>
</file>

<file path=xl/calcChain.xml><?xml version="1.0" encoding="utf-8"?>
<calcChain xmlns="http://schemas.openxmlformats.org/spreadsheetml/2006/main">
  <c r="F47" i="12"/>
  <c r="F41"/>
  <c r="F37"/>
  <c r="F33"/>
  <c r="F27"/>
  <c r="F64" i="11"/>
  <c r="F58"/>
  <c r="F56"/>
  <c r="F50"/>
  <c r="F46"/>
  <c r="F44"/>
  <c r="F42"/>
  <c r="F40"/>
  <c r="F38"/>
  <c r="F36"/>
  <c r="F34"/>
  <c r="F32"/>
  <c r="F31"/>
  <c r="F18"/>
  <c r="E18"/>
  <c r="F14"/>
  <c r="F12"/>
  <c r="F10"/>
  <c r="F8"/>
  <c r="F2"/>
  <c r="F71" i="4"/>
  <c r="F67"/>
  <c r="F63"/>
  <c r="F61"/>
  <c r="F59"/>
  <c r="F39"/>
  <c r="F37"/>
  <c r="F35"/>
  <c r="F31"/>
  <c r="F21"/>
  <c r="F14"/>
  <c r="F9"/>
  <c r="F7"/>
  <c r="F9" i="10"/>
  <c r="F7"/>
  <c r="F4"/>
  <c r="F21" i="9"/>
  <c r="F17"/>
  <c r="F11"/>
  <c r="F7"/>
  <c r="F9" i="8"/>
  <c r="E9"/>
  <c r="F7"/>
  <c r="E7"/>
  <c r="F50" i="6"/>
  <c r="F48"/>
  <c r="F46"/>
  <c r="F40"/>
  <c r="E40"/>
  <c r="F198" i="2"/>
  <c r="F467"/>
  <c r="F179"/>
  <c r="F376"/>
  <c r="F234"/>
  <c r="F395"/>
  <c r="F501"/>
  <c r="E501"/>
  <c r="D501"/>
  <c r="E188"/>
  <c r="D188"/>
  <c r="F130"/>
  <c r="E130"/>
  <c r="D130"/>
  <c r="F351"/>
  <c r="E351"/>
  <c r="D351"/>
  <c r="E352"/>
  <c r="D352"/>
  <c r="F129"/>
  <c r="E129"/>
  <c r="D129"/>
  <c r="F505"/>
  <c r="E505"/>
  <c r="D505"/>
  <c r="F506"/>
  <c r="E506"/>
  <c r="D506"/>
  <c r="F124"/>
  <c r="E124"/>
  <c r="D124"/>
  <c r="F180"/>
  <c r="F493"/>
  <c r="F516"/>
  <c r="F544"/>
  <c r="F398"/>
  <c r="F397"/>
  <c r="F174"/>
  <c r="F394"/>
  <c r="F37" i="6"/>
  <c r="F35"/>
  <c r="F34"/>
  <c r="F31"/>
  <c r="F29"/>
  <c r="F28"/>
  <c r="F27"/>
  <c r="F25"/>
  <c r="F19"/>
  <c r="F18"/>
  <c r="F13"/>
  <c r="F10"/>
  <c r="F5"/>
  <c r="F26" i="7"/>
  <c r="F23"/>
  <c r="F20"/>
  <c r="F18"/>
  <c r="F17"/>
  <c r="F12"/>
  <c r="F11"/>
  <c r="F303" i="2"/>
  <c r="F342"/>
  <c r="F193"/>
  <c r="F432"/>
  <c r="F431"/>
  <c r="F74"/>
  <c r="F525"/>
  <c r="F83"/>
  <c r="F76"/>
  <c r="F155"/>
  <c r="F523"/>
  <c r="F470"/>
  <c r="F361"/>
  <c r="F348"/>
  <c r="F458"/>
  <c r="F95"/>
  <c r="F31"/>
  <c r="F261"/>
  <c r="F258"/>
  <c r="F417"/>
  <c r="F246"/>
  <c r="E246"/>
  <c r="F339"/>
  <c r="E339"/>
  <c r="E367"/>
  <c r="F404"/>
  <c r="E404"/>
  <c r="F402"/>
  <c r="E402"/>
  <c r="F225"/>
  <c r="E225"/>
  <c r="F101"/>
  <c r="E101"/>
  <c r="F245"/>
  <c r="E245"/>
  <c r="F227"/>
  <c r="F405"/>
  <c r="F337"/>
  <c r="F407"/>
  <c r="F15"/>
  <c r="F242"/>
  <c r="F240"/>
  <c r="F382"/>
  <c r="F14"/>
  <c r="F336"/>
  <c r="F537"/>
  <c r="F341"/>
  <c r="F201"/>
  <c r="F340"/>
  <c r="F536"/>
  <c r="F535"/>
  <c r="F480"/>
  <c r="F529"/>
  <c r="F236"/>
  <c r="F33"/>
  <c r="F32"/>
  <c r="E257"/>
  <c r="E488"/>
  <c r="E144"/>
  <c r="E231"/>
  <c r="E484"/>
  <c r="E475"/>
  <c r="E411"/>
  <c r="E208"/>
  <c r="E260"/>
  <c r="E212"/>
  <c r="E136"/>
  <c r="E461"/>
  <c r="E250"/>
  <c r="E147"/>
  <c r="E253"/>
  <c r="D257"/>
  <c r="D488"/>
  <c r="D144"/>
  <c r="D231"/>
  <c r="D484"/>
  <c r="D475"/>
  <c r="D411"/>
  <c r="D208"/>
  <c r="D260"/>
  <c r="D212"/>
  <c r="D136"/>
  <c r="D461"/>
  <c r="D250"/>
  <c r="D147"/>
  <c r="D253"/>
  <c r="E474"/>
  <c r="D474"/>
  <c r="F288"/>
  <c r="F69"/>
  <c r="F187"/>
  <c r="F59"/>
  <c r="F438"/>
  <c r="F289"/>
  <c r="F181"/>
  <c r="F221"/>
  <c r="F440"/>
  <c r="F21"/>
  <c r="F169"/>
  <c r="F262"/>
  <c r="F109"/>
  <c r="F266"/>
  <c r="F452"/>
  <c r="F280"/>
  <c r="F217"/>
  <c r="F353"/>
  <c r="F4"/>
  <c r="F106"/>
  <c r="F293"/>
  <c r="F324"/>
  <c r="F478"/>
  <c r="F362"/>
  <c r="F237"/>
  <c r="F238"/>
  <c r="F355"/>
  <c r="F509"/>
  <c r="F12"/>
  <c r="F527"/>
  <c r="F408"/>
  <c r="F307"/>
  <c r="F310"/>
  <c r="F315"/>
  <c r="F300"/>
  <c r="F195"/>
  <c r="F306"/>
  <c r="F299"/>
  <c r="F312"/>
  <c r="F199"/>
  <c r="F39"/>
  <c r="F37"/>
  <c r="F313"/>
  <c r="F186"/>
  <c r="E186"/>
  <c r="D186"/>
  <c r="E65"/>
  <c r="D65"/>
  <c r="E320"/>
  <c r="D320"/>
  <c r="E160"/>
  <c r="D160"/>
  <c r="F191"/>
  <c r="E191"/>
  <c r="D191"/>
  <c r="E294"/>
  <c r="D294"/>
  <c r="E448"/>
  <c r="D448"/>
  <c r="E291"/>
  <c r="D291"/>
  <c r="E374"/>
  <c r="D374"/>
  <c r="D178"/>
  <c r="E539"/>
  <c r="D539"/>
  <c r="E178"/>
  <c r="E541"/>
  <c r="D541"/>
  <c r="E393"/>
  <c r="D393"/>
  <c r="E388"/>
  <c r="D388"/>
  <c r="E50"/>
  <c r="D50"/>
  <c r="E88"/>
  <c r="D88"/>
  <c r="E16"/>
  <c r="D16"/>
  <c r="E546"/>
  <c r="D546"/>
  <c r="E298"/>
  <c r="D298"/>
  <c r="E436"/>
  <c r="D436"/>
  <c r="E49"/>
  <c r="D49"/>
  <c r="E331"/>
  <c r="D331"/>
  <c r="E87"/>
  <c r="D87"/>
  <c r="E9"/>
  <c r="D9"/>
  <c r="F279"/>
  <c r="F425"/>
  <c r="F28"/>
  <c r="F451"/>
  <c r="F424"/>
  <c r="F116"/>
  <c r="F513"/>
  <c r="F421"/>
  <c r="F350"/>
  <c r="F127"/>
  <c r="F359"/>
  <c r="F122"/>
  <c r="F345"/>
  <c r="F426"/>
  <c r="F45"/>
  <c r="F357"/>
  <c r="F465"/>
  <c r="F153"/>
  <c r="F214"/>
  <c r="F387"/>
  <c r="F232"/>
  <c r="F414"/>
  <c r="F185"/>
  <c r="F318"/>
  <c r="D318"/>
  <c r="F84"/>
  <c r="D84"/>
  <c r="F524"/>
  <c r="D524"/>
  <c r="F308"/>
  <c r="D308"/>
  <c r="F43"/>
  <c r="D43"/>
  <c r="F38"/>
  <c r="F507"/>
  <c r="F371"/>
  <c r="F172"/>
  <c r="F183"/>
  <c r="F517"/>
  <c r="F51"/>
  <c r="F510"/>
  <c r="F521"/>
  <c r="F449"/>
  <c r="E89"/>
  <c r="D89"/>
  <c r="E410"/>
  <c r="D410"/>
  <c r="E81"/>
  <c r="D81"/>
  <c r="E79"/>
  <c r="D79"/>
  <c r="E151"/>
  <c r="D151"/>
  <c r="E460"/>
  <c r="D460"/>
  <c r="F428"/>
  <c r="F168"/>
  <c r="F148"/>
  <c r="F145"/>
  <c r="F123"/>
  <c r="F399"/>
  <c r="F420"/>
  <c r="F92"/>
  <c r="F418"/>
  <c r="F146"/>
  <c r="F226"/>
  <c r="F343"/>
  <c r="F316"/>
  <c r="F34"/>
  <c r="F30"/>
  <c r="F94"/>
  <c r="F334"/>
  <c r="F158"/>
  <c r="F13"/>
  <c r="F384"/>
  <c r="F239"/>
  <c r="F476"/>
  <c r="F44"/>
  <c r="F82"/>
  <c r="F413"/>
  <c r="F369"/>
  <c r="F80"/>
  <c r="F526"/>
  <c r="F213"/>
  <c r="F422"/>
  <c r="F114"/>
  <c r="F150"/>
  <c r="F269"/>
  <c r="F167"/>
  <c r="F233"/>
  <c r="F466"/>
  <c r="F154"/>
  <c r="F534"/>
  <c r="F373"/>
  <c r="F396"/>
  <c r="F489"/>
  <c r="F518"/>
  <c r="F177"/>
  <c r="F445"/>
  <c r="F98"/>
  <c r="F96"/>
  <c r="F477"/>
  <c r="F91"/>
  <c r="F248"/>
  <c r="F202"/>
  <c r="F119"/>
  <c r="F370"/>
  <c r="F205"/>
  <c r="F85"/>
  <c r="F166"/>
</calcChain>
</file>

<file path=xl/comments1.xml><?xml version="1.0" encoding="utf-8"?>
<comments xmlns="http://schemas.openxmlformats.org/spreadsheetml/2006/main">
  <authors>
    <author>Fred Morlan</author>
  </authors>
  <commentList>
    <comment ref="A150" authorId="0">
      <text>
        <r>
          <rPr>
            <b/>
            <sz val="9"/>
            <color indexed="81"/>
            <rFont val="Tahoma"/>
            <family val="2"/>
          </rPr>
          <t>Fred Morlan:</t>
        </r>
        <r>
          <rPr>
            <sz val="9"/>
            <color indexed="81"/>
            <rFont val="Tahoma"/>
            <family val="2"/>
          </rPr>
          <t xml:space="preserve">
Nick</t>
        </r>
      </text>
    </comment>
  </commentList>
</comments>
</file>

<file path=xl/sharedStrings.xml><?xml version="1.0" encoding="utf-8"?>
<sst xmlns="http://schemas.openxmlformats.org/spreadsheetml/2006/main" count="3874" uniqueCount="1078">
  <si>
    <t>Ezell-Harding</t>
  </si>
  <si>
    <t>http://hsquizbowl.org/forums/viewtopic.php?f=1&amp;t=9929</t>
  </si>
  <si>
    <t>Lewis Cup</t>
  </si>
  <si>
    <t>http://naqt.com/stats/tournament-teams.jsp?tournament_id=3377</t>
  </si>
  <si>
    <t>Gwinnett County</t>
  </si>
  <si>
    <t>http://naqt.com/stats/tournament-teams.jsp?tournament_id=3448</t>
  </si>
  <si>
    <t>Sue Pasco</t>
  </si>
  <si>
    <t>http://naqt.com/stats/tournament-teams.jsp?tournament_id=3525</t>
  </si>
  <si>
    <t>Maryland Fall</t>
  </si>
  <si>
    <t>http://naqt.com/stats/tournament-teams.jsp?tournament_id=3544</t>
  </si>
  <si>
    <t>Seton Hall Prep Pirate Open</t>
  </si>
  <si>
    <t>http://hsquizbowl.org/forums/viewtopic.php?f=1&amp;t=10071</t>
  </si>
  <si>
    <t>UNC Tar Heel Cup</t>
  </si>
  <si>
    <t>http://hsquizbowl.org/forums/viewtopic.php?f=1&amp;t=10160</t>
  </si>
  <si>
    <t>UTC Trevor's Trivia</t>
  </si>
  <si>
    <t>http://hsquizbowl.org/forums/viewtopic.php?f=1&amp;t=10468</t>
  </si>
  <si>
    <t>UCLA TWAIN</t>
  </si>
  <si>
    <t>http://hsquizbowl.org/forums/viewtopic.php?f=1&amp;t=9876</t>
  </si>
  <si>
    <t>Walton Academic Challenge (check on quality)</t>
  </si>
  <si>
    <t>http://hsquizbowl.org/forums/viewtopic.php?f=1&amp;t=10305</t>
  </si>
  <si>
    <t>Dunbar Academic Fall Tournament</t>
  </si>
  <si>
    <t>http://hsquizbowl.org/forums/viewtopic.php?f=1&amp;t=10133</t>
  </si>
  <si>
    <t>PHSAT XVIII</t>
  </si>
  <si>
    <t>http://hsquizbowl.org/forums/viewtopic.php?f=1&amp;t=10450</t>
  </si>
  <si>
    <t>Collegiate High at NWFSC School Invitational</t>
  </si>
  <si>
    <t>http://naqt.com/schedule.jsp?hs=yes</t>
  </si>
  <si>
    <t>6th Annual TQBA Kickoff</t>
  </si>
  <si>
    <t>http://texasquizbowl.org/</t>
  </si>
  <si>
    <t>FKT NE @ Olmsted Falls</t>
  </si>
  <si>
    <t>FKT WC @ Centerville</t>
  </si>
  <si>
    <t>http://www.createphpbb.com/phpbb/viewtopic.php?t=881&amp;mforum=oac</t>
  </si>
  <si>
    <t>http://hsquizbowl.org/forums/viewtopic.php?f=1&amp;t=10057</t>
  </si>
  <si>
    <t>William R King</t>
  </si>
  <si>
    <t>DAR</t>
  </si>
  <si>
    <t>http://hsquizbowl.org/forums/viewtopic.php?f=1&amp;t=10004</t>
  </si>
  <si>
    <t>Team</t>
  </si>
  <si>
    <t>Tourney</t>
  </si>
  <si>
    <t>Set</t>
  </si>
  <si>
    <t>PPG</t>
  </si>
  <si>
    <t>PPB</t>
  </si>
  <si>
    <t>15PG</t>
  </si>
  <si>
    <t>IS96</t>
  </si>
  <si>
    <t>William King</t>
  </si>
  <si>
    <t>Chattahoochee</t>
  </si>
  <si>
    <t>St. Andrew's</t>
  </si>
  <si>
    <t>Hume-Fogg</t>
  </si>
  <si>
    <t>PJP II Catholic</t>
  </si>
  <si>
    <t>IS97A</t>
  </si>
  <si>
    <t>Holy Spirit</t>
  </si>
  <si>
    <t>Hoover</t>
  </si>
  <si>
    <t>LAMP</t>
  </si>
  <si>
    <t>LL Lewis</t>
  </si>
  <si>
    <t>Cistercian A</t>
  </si>
  <si>
    <t>Stillwater A</t>
  </si>
  <si>
    <t>Cistercian B</t>
  </si>
  <si>
    <t>Cistercian C</t>
  </si>
  <si>
    <t>St. Anselm's</t>
  </si>
  <si>
    <t>Thomas Jefferson A</t>
  </si>
  <si>
    <t>Richard Montgomery A</t>
  </si>
  <si>
    <t>Georgetown Day</t>
  </si>
  <si>
    <t>Walter Johnson</t>
  </si>
  <si>
    <t>Thomas Jefferson B</t>
  </si>
  <si>
    <t>George Mason</t>
  </si>
  <si>
    <t>Richard Montgomery B</t>
  </si>
  <si>
    <t>Quince Orchard</t>
  </si>
  <si>
    <t>Seton Hall Prep</t>
  </si>
  <si>
    <t>Bergen County</t>
  </si>
  <si>
    <t>MAST</t>
  </si>
  <si>
    <t>Hunter C</t>
  </si>
  <si>
    <t>White Plains</t>
  </si>
  <si>
    <t>East Brunswick</t>
  </si>
  <si>
    <t>St. Joseph's</t>
  </si>
  <si>
    <t>Hunter B</t>
  </si>
  <si>
    <t>Kellenberg A</t>
  </si>
  <si>
    <t>HT15</t>
  </si>
  <si>
    <t>Lincoln County</t>
  </si>
  <si>
    <t>FKT Centerville</t>
  </si>
  <si>
    <t>FKT</t>
  </si>
  <si>
    <t>n/a</t>
  </si>
  <si>
    <t>Tippecanoe</t>
  </si>
  <si>
    <t>Northmont B</t>
  </si>
  <si>
    <t>Northmont A</t>
  </si>
  <si>
    <t>DAFT</t>
  </si>
  <si>
    <t>duPont Manual*</t>
  </si>
  <si>
    <t>Danville</t>
  </si>
  <si>
    <t>Simon Kenton</t>
  </si>
  <si>
    <t>PHSAT</t>
  </si>
  <si>
    <t>Hunter A</t>
  </si>
  <si>
    <t>West Chester</t>
  </si>
  <si>
    <t>High Tech</t>
  </si>
  <si>
    <t>Pingry</t>
  </si>
  <si>
    <t>Seton Hall</t>
  </si>
  <si>
    <t>Charter B</t>
  </si>
  <si>
    <t>Charter A</t>
  </si>
  <si>
    <t>Bric-a-Brac</t>
  </si>
  <si>
    <t>Ranney</t>
  </si>
  <si>
    <t>State College B</t>
  </si>
  <si>
    <t>TWAIN</t>
  </si>
  <si>
    <t>Torrey Pines</t>
  </si>
  <si>
    <t>University</t>
  </si>
  <si>
    <t>La Jolla</t>
  </si>
  <si>
    <t>Rancho Bernardo</t>
  </si>
  <si>
    <t>Arcadia</t>
  </si>
  <si>
    <t>Edison</t>
  </si>
  <si>
    <t>Bishop's School</t>
  </si>
  <si>
    <t>North Hollywood</t>
  </si>
  <si>
    <t>UNC Tar Heel</t>
  </si>
  <si>
    <t>Guilford</t>
  </si>
  <si>
    <t>NCSSM</t>
  </si>
  <si>
    <t>Cave Spring</t>
  </si>
  <si>
    <t>Raleigh Charter</t>
  </si>
  <si>
    <t>Enloe</t>
  </si>
  <si>
    <t>Copley</t>
  </si>
  <si>
    <t>FKT Olmsted Falls</t>
  </si>
  <si>
    <t>Hawken</t>
  </si>
  <si>
    <t>Solon</t>
  </si>
  <si>
    <t>Beachwood</t>
  </si>
  <si>
    <t>Olmsted Falls</t>
  </si>
  <si>
    <t>St. Ignatius (OH?)</t>
  </si>
  <si>
    <t>http://www.createphpbb.com/oac/viewtopic.php?mforum=oac&amp;p=10716#10716</t>
  </si>
  <si>
    <t>TQBA Kickoff</t>
  </si>
  <si>
    <t>LASA B</t>
  </si>
  <si>
    <t>St. Marks</t>
  </si>
  <si>
    <t>Bellaire</t>
  </si>
  <si>
    <t>Cal Classic</t>
  </si>
  <si>
    <t>http://hsquizbowl.org/forums/viewtopic.php?f=1&amp;t=10392</t>
  </si>
  <si>
    <t>Pensacola Invitational</t>
  </si>
  <si>
    <t>http://hsquizbowl.org/forums/viewtopic.php?f=1&amp;t=10443</t>
  </si>
  <si>
    <t>Danville Fall</t>
  </si>
  <si>
    <t>http://hsquizbowl.org/forums/viewtopic.php?f=1&amp;t=10131</t>
  </si>
  <si>
    <t>University High</t>
  </si>
  <si>
    <t>http://hsquizbowl.org/forums/viewtopic.php?f=1&amp;t=10296</t>
  </si>
  <si>
    <t>Missouri Fall</t>
  </si>
  <si>
    <t>http://hsquizbowl.org/forums/viewtopic.php?f=1&amp;t=10447</t>
  </si>
  <si>
    <t>LIFT X</t>
  </si>
  <si>
    <t>http://hsquizbowl.org/forums/viewtopic.php?f=1&amp;t=10207</t>
  </si>
  <si>
    <t>Crusader Cup</t>
  </si>
  <si>
    <t>http://hsquizbowl.org/forums/viewtopic.php?f=1&amp;t=9936</t>
  </si>
  <si>
    <t>Quad States Challenge</t>
  </si>
  <si>
    <t>Tal Atkins Memorial Quiz Bowl Tournament</t>
  </si>
  <si>
    <t>Bellarmine A</t>
  </si>
  <si>
    <t>Mission San Jose A</t>
  </si>
  <si>
    <t>Northmont</t>
  </si>
  <si>
    <t>Dunbar A</t>
  </si>
  <si>
    <t>Johnson Central</t>
  </si>
  <si>
    <t>Dunbar B</t>
  </si>
  <si>
    <t>Ballard</t>
  </si>
  <si>
    <t>Rock Bridge</t>
  </si>
  <si>
    <t>Ladue</t>
  </si>
  <si>
    <t>Villa Duchesne</t>
  </si>
  <si>
    <t>Clayton</t>
  </si>
  <si>
    <t>North Kansas City</t>
  </si>
  <si>
    <t>IS98</t>
  </si>
  <si>
    <t>LIFT</t>
  </si>
  <si>
    <t>Horace Greeley</t>
  </si>
  <si>
    <t>Great Neck South</t>
  </si>
  <si>
    <t>Quad States</t>
  </si>
  <si>
    <t>Seven Lakes B</t>
  </si>
  <si>
    <t>Seven Lakes A</t>
  </si>
  <si>
    <t>Parkersburg</t>
  </si>
  <si>
    <t>DuBois</t>
  </si>
  <si>
    <t>Hilltopper Invitational</t>
  </si>
  <si>
    <t>http://hsquizbowl.org/forums/viewtopic.php?f=1&amp;t=9875</t>
  </si>
  <si>
    <t>Quaker Bowl</t>
  </si>
  <si>
    <t>http://hsquizbowl.org/forums/viewtopic.php?f=1&amp;t=9931</t>
  </si>
  <si>
    <t>Yale FaCT</t>
  </si>
  <si>
    <t>http://hsquizbowl.org/forums/viewtopic.php?f=1&amp;t=10340</t>
  </si>
  <si>
    <t>UIUC Earlybird</t>
  </si>
  <si>
    <t>http://hsquizbowl.org/forums/viewtopic.php?f=1&amp;t=9950</t>
  </si>
  <si>
    <t>El Paso Academic Challenge</t>
  </si>
  <si>
    <t>North White Kick-off Tournament</t>
  </si>
  <si>
    <t>http://naqt.com/hosting/2010-north-white-kickoff-invitation.pdf</t>
  </si>
  <si>
    <t>Mellon Bowl VII</t>
  </si>
  <si>
    <t>http://www.createphpbb.com/phpbb/viewtopic.php?t=890&amp;mforum=oac</t>
  </si>
  <si>
    <t>Rickards</t>
  </si>
  <si>
    <t>Pensacola</t>
  </si>
  <si>
    <t>IS99A</t>
  </si>
  <si>
    <t>Bayside</t>
  </si>
  <si>
    <t>Adlai Stevenson</t>
  </si>
  <si>
    <t>Loyola</t>
  </si>
  <si>
    <t>Detroit Catholic Central B</t>
  </si>
  <si>
    <t>Detroit Catholic Central A</t>
  </si>
  <si>
    <t>St. Ignatius</t>
  </si>
  <si>
    <t>Carbondale</t>
  </si>
  <si>
    <t>Culver</t>
  </si>
  <si>
    <t>New Trier</t>
  </si>
  <si>
    <t>Hilltopper</t>
  </si>
  <si>
    <t>Dunbar C</t>
  </si>
  <si>
    <t>Ezell Harding B</t>
  </si>
  <si>
    <t>Ezell-Harding A</t>
  </si>
  <si>
    <t>Enloe A</t>
  </si>
  <si>
    <t>Dorman "A"</t>
  </si>
  <si>
    <t>Raleigh Charter A</t>
  </si>
  <si>
    <t>Walton</t>
  </si>
  <si>
    <t>EFT</t>
  </si>
  <si>
    <t>EFT Georgia Tech</t>
  </si>
  <si>
    <t>VCU EFT</t>
  </si>
  <si>
    <t>Vanderbilt ABC XL</t>
  </si>
  <si>
    <t>http://hsquizbowl.org/forums/viewtopic.php?f=1&amp;t=10486</t>
  </si>
  <si>
    <t>St Louis University</t>
  </si>
  <si>
    <t>http://hsquizbowl.org/forums/viewtopic.php?f=1&amp;t=10555</t>
  </si>
  <si>
    <t>Buckeye Fall</t>
  </si>
  <si>
    <t>http://hsquizbowl.org/forums/viewtopic.php?f=1&amp;t=10378</t>
  </si>
  <si>
    <t>Boise State's Fall Kickoff</t>
  </si>
  <si>
    <t>http://hsquizbowl.org/forums/viewtopic.php?f=1&amp;t=10611</t>
  </si>
  <si>
    <t>Richard Montgomery FRIGHT</t>
  </si>
  <si>
    <t>http://hsquizbowl.org/forums/viewtopic.php?f=1&amp;t=10495</t>
  </si>
  <si>
    <t>Samhain Classic</t>
  </si>
  <si>
    <t>http://hsquizbowl.org/forums/viewtopic.php?f=1&amp;t=10492</t>
  </si>
  <si>
    <t>Hoover Invitational Tournament</t>
  </si>
  <si>
    <t>http://hsquizbowl.org/forums/viewtopic.php?f=1&amp;t=10210</t>
  </si>
  <si>
    <t>BELLEROPHON</t>
  </si>
  <si>
    <t>http://hsquizbowl.org/forums/viewtopic.php?f=1&amp;t=10441</t>
  </si>
  <si>
    <t>Fourth Annual Viking Invitational</t>
  </si>
  <si>
    <t>Rickards Brain Bowl</t>
  </si>
  <si>
    <t>SOCIAL</t>
  </si>
  <si>
    <t>http://naqt.com/mqba/social/2010</t>
  </si>
  <si>
    <t>Tippecanoe Academic Challenge</t>
  </si>
  <si>
    <t>http://hsquizbowl.org/forums/viewtopic.php?f=1&amp;t=10472</t>
  </si>
  <si>
    <t>Siouxper Bowl VII</t>
  </si>
  <si>
    <t>2010 IHSSBCA Kickoff Tournament</t>
  </si>
  <si>
    <t>Connors State Brain Bowl</t>
  </si>
  <si>
    <t>Bonfire of the Manatees III</t>
  </si>
  <si>
    <t>http://hsquizbowl.org/forums/viewtopic.php?f=1&amp;t=10407</t>
  </si>
  <si>
    <t>Ottawa Quizbowl Tournament VI</t>
  </si>
  <si>
    <t>http://hsquizbowl.org/forums/viewtopic.php?f=1&amp;t=10040</t>
  </si>
  <si>
    <t>Triton Fall II</t>
  </si>
  <si>
    <t>http://hsquizbowl.org/forums/viewtopic.php?f=1&amp;t=10153</t>
  </si>
  <si>
    <t>Walt Whitman's Harvard Fall</t>
  </si>
  <si>
    <t>http://hsquizbowl.org/forums/viewtopic.php?f=1&amp;t=10456</t>
  </si>
  <si>
    <t>Harvard Fall Tournament V</t>
  </si>
  <si>
    <t>http://hsquizbowl.org/forums/viewtopic.php?f=1&amp;t=9870</t>
  </si>
  <si>
    <t>CSI V (check on quality)</t>
  </si>
  <si>
    <t>http://hsquizbowl.org/forums/viewtopic.php?f=1&amp;t=10503</t>
  </si>
  <si>
    <t>Cornell Cayuga Championship 3</t>
  </si>
  <si>
    <t>Parkersburg Catholic Invitational</t>
  </si>
  <si>
    <t>Jayhawks Invitational Tournament</t>
  </si>
  <si>
    <t>3rd Annual Wildcat Invitational</t>
  </si>
  <si>
    <t>Bill Currie Memorial</t>
  </si>
  <si>
    <t>http://moquizbowl.com/viewtopic.php?f=2&amp;t=2112</t>
  </si>
  <si>
    <t>Mellon Bowl</t>
  </si>
  <si>
    <t>FAcT</t>
  </si>
  <si>
    <t>E.O. Smith</t>
  </si>
  <si>
    <t>Cheshire</t>
  </si>
  <si>
    <t>GATA Fall (CHS)</t>
  </si>
  <si>
    <t>Centennial</t>
  </si>
  <si>
    <t>Norcross</t>
  </si>
  <si>
    <t>Alpharetta</t>
  </si>
  <si>
    <t>Brookwood</t>
  </si>
  <si>
    <t>Starr's Mill</t>
  </si>
  <si>
    <t>Central Gwinnett</t>
  </si>
  <si>
    <t>Woodward</t>
  </si>
  <si>
    <t>Westminster</t>
  </si>
  <si>
    <t>GSMST</t>
  </si>
  <si>
    <t>GATA Fall Tournament (Bleckley County)</t>
  </si>
  <si>
    <t>Spartanburg</t>
  </si>
  <si>
    <t>Southside Christian</t>
  </si>
  <si>
    <t>UCI CBCT</t>
  </si>
  <si>
    <t>http://hsquizbowl.org/forums/viewtopic.php?f=1&amp;t=10624</t>
  </si>
  <si>
    <t>University A</t>
  </si>
  <si>
    <t>University B</t>
  </si>
  <si>
    <t>Edison A</t>
  </si>
  <si>
    <t>St. Charles</t>
  </si>
  <si>
    <t>OSU Fall</t>
  </si>
  <si>
    <t>Warren G Harding</t>
  </si>
  <si>
    <t>Walnut Hills</t>
  </si>
  <si>
    <t>Brush</t>
  </si>
  <si>
    <t>Fright 2010</t>
  </si>
  <si>
    <t>DCC A</t>
  </si>
  <si>
    <t>DCC B</t>
  </si>
  <si>
    <t>Gonzaga</t>
  </si>
  <si>
    <t>Caesar Rodney</t>
  </si>
  <si>
    <t>Walt Whitman</t>
  </si>
  <si>
    <t>Vestavia Hills</t>
  </si>
  <si>
    <t>Boise State FKT</t>
  </si>
  <si>
    <t>Frenchtown</t>
  </si>
  <si>
    <t>Mission San Jose "E"</t>
  </si>
  <si>
    <t>Mission San Jose "C"</t>
  </si>
  <si>
    <t>Bellarmine B</t>
  </si>
  <si>
    <t>Chanhassen</t>
  </si>
  <si>
    <t>Central (St. Paul)</t>
  </si>
  <si>
    <t>Eden Prairie B</t>
  </si>
  <si>
    <t>Eden Prairie A</t>
  </si>
  <si>
    <t>Blake School</t>
  </si>
  <si>
    <t>Minnetonka</t>
  </si>
  <si>
    <t>Wayzata</t>
  </si>
  <si>
    <t>Chaska</t>
  </si>
  <si>
    <t>Mounds Park</t>
  </si>
  <si>
    <t>Samhain</t>
  </si>
  <si>
    <t>Wissahickon</t>
  </si>
  <si>
    <t>Livingston A</t>
  </si>
  <si>
    <t>Bellarmine C</t>
  </si>
  <si>
    <t>ACF Fall UVA</t>
  </si>
  <si>
    <t>http://student.virginia.edu/~quizbowl/fall10/fall._standings.html</t>
  </si>
  <si>
    <t>State College A</t>
  </si>
  <si>
    <t>ACF Fall VCU</t>
  </si>
  <si>
    <t>ACF Fall</t>
  </si>
  <si>
    <t>Dorman A</t>
  </si>
  <si>
    <t>Thomas Jefferson</t>
  </si>
  <si>
    <t>O'Gorman</t>
  </si>
  <si>
    <t>Brookings</t>
  </si>
  <si>
    <t>Sioux City North</t>
  </si>
  <si>
    <t>Tippecanoe XV</t>
  </si>
  <si>
    <t>Sidney</t>
  </si>
  <si>
    <t>Walnut Hills B</t>
  </si>
  <si>
    <t>Walnut Hills A</t>
  </si>
  <si>
    <t>Beavercreek</t>
  </si>
  <si>
    <t>Simon Kenton B</t>
  </si>
  <si>
    <t>Simon Kenton A</t>
  </si>
  <si>
    <t>Louisville Eastern</t>
  </si>
  <si>
    <t>ACF Fall Caltech</t>
  </si>
  <si>
    <t>http://quizbowl.caltech.edu/results/2010ACF_fall/acffall_standings.html</t>
  </si>
  <si>
    <t>ACF Fall Boise State</t>
  </si>
  <si>
    <t>http://math.boisestate.edu/~mcnamara/qb/2010/ACF_Fall/ACF_Fall_2010_standings.html</t>
  </si>
  <si>
    <t>Treasure Valley and Math Center A</t>
  </si>
  <si>
    <t>Lisle</t>
  </si>
  <si>
    <t>ACF Fall Ohio State</t>
  </si>
  <si>
    <t>ACF Fall Alabama</t>
  </si>
  <si>
    <t>DAR A</t>
  </si>
  <si>
    <t>Dorman B</t>
  </si>
  <si>
    <t>ACF Fall South Carolina</t>
  </si>
  <si>
    <t>Dorman C</t>
  </si>
  <si>
    <t>ACF Fall Brandeis</t>
  </si>
  <si>
    <t>Needham A</t>
  </si>
  <si>
    <t>Loyburn</t>
  </si>
  <si>
    <t>Auburn B</t>
  </si>
  <si>
    <t>Auburn A</t>
  </si>
  <si>
    <t>Wheaton North</t>
  </si>
  <si>
    <t>IMSA B</t>
  </si>
  <si>
    <t>Wheaton-Warrenville</t>
  </si>
  <si>
    <t>Keith Country Day</t>
  </si>
  <si>
    <t>Adlai Stevenson B</t>
  </si>
  <si>
    <t>Loyola B</t>
  </si>
  <si>
    <t>Loyola A</t>
  </si>
  <si>
    <t>Adlai Stevenson A</t>
  </si>
  <si>
    <t>IMSA A</t>
  </si>
  <si>
    <t>http://www.ihssbca.org/statistics/2010_Loyburn_November/2010_Loyburn_overall_standings.php</t>
  </si>
  <si>
    <t>HFT</t>
  </si>
  <si>
    <t>GA HFT Mirror</t>
  </si>
  <si>
    <t>Meadowcreek</t>
  </si>
  <si>
    <t>Athens Academy</t>
  </si>
  <si>
    <t>Chattahoochee B</t>
  </si>
  <si>
    <t>Chattahoochee A</t>
  </si>
  <si>
    <t>Brookwood B</t>
  </si>
  <si>
    <t>Brookwood A</t>
  </si>
  <si>
    <t>RGNS</t>
  </si>
  <si>
    <t>GA Harvard Fall</t>
  </si>
  <si>
    <t>http://hsquizbowl.org/forums/viewtopic.php?f=1&amp;t=10663</t>
  </si>
  <si>
    <t>Whitman HFT</t>
  </si>
  <si>
    <t>Wilmington Charter B</t>
  </si>
  <si>
    <t>Wilmington Charter A</t>
  </si>
  <si>
    <t>Maggie Walker A</t>
  </si>
  <si>
    <t>Maggie Walker B</t>
  </si>
  <si>
    <t>Bonfire Manatees</t>
  </si>
  <si>
    <t>Carrboro</t>
  </si>
  <si>
    <t>Green Hope</t>
  </si>
  <si>
    <t>Cardinal Jr Classic</t>
  </si>
  <si>
    <t>Mission San Jose "D"</t>
  </si>
  <si>
    <t>Mission San Jose "A"</t>
  </si>
  <si>
    <t>Bellarmine D</t>
  </si>
  <si>
    <t>Henry M Gunn</t>
  </si>
  <si>
    <t>Menlo</t>
  </si>
  <si>
    <t>Harker School</t>
  </si>
  <si>
    <t>Menlo-Atherton</t>
  </si>
  <si>
    <t>Mission San Jose "B"</t>
  </si>
  <si>
    <t>Mills B</t>
  </si>
  <si>
    <t>Mills A</t>
  </si>
  <si>
    <t>Savannah</t>
  </si>
  <si>
    <t>Matt Cvijanovich</t>
  </si>
  <si>
    <t>Ames A</t>
  </si>
  <si>
    <t>West Des Moines Valley "B"</t>
  </si>
  <si>
    <t>http://naqt.com/stats/tournament-teams.jsp?tournament_id=3462</t>
  </si>
  <si>
    <t>Torrey Pines B</t>
  </si>
  <si>
    <t>Triton Fall</t>
  </si>
  <si>
    <t>Torrey Pines A</t>
  </si>
  <si>
    <t>La Jolla A</t>
  </si>
  <si>
    <t>La Jolla B</t>
  </si>
  <si>
    <t>St Louis</t>
  </si>
  <si>
    <t>Oakville</t>
  </si>
  <si>
    <t>Eureka</t>
  </si>
  <si>
    <t>Parkway North</t>
  </si>
  <si>
    <t>WUSTL Gateway</t>
  </si>
  <si>
    <t>Delta Burke</t>
  </si>
  <si>
    <t>FZW</t>
  </si>
  <si>
    <t>Cornell Cayuga</t>
  </si>
  <si>
    <t>Ithaca A</t>
  </si>
  <si>
    <t>Ithaca B</t>
  </si>
  <si>
    <t>La Follette</t>
  </si>
  <si>
    <t>Wisconsin Fall</t>
  </si>
  <si>
    <t>La Crosse Logan A</t>
  </si>
  <si>
    <t>Oshkosh West</t>
  </si>
  <si>
    <t>Stoughton</t>
  </si>
  <si>
    <t>Harvard Delta Burke</t>
  </si>
  <si>
    <t>LASA A</t>
  </si>
  <si>
    <t>LASA C</t>
  </si>
  <si>
    <t>LASA D</t>
  </si>
  <si>
    <t>Lisgar A</t>
  </si>
  <si>
    <t>Ottawa</t>
  </si>
  <si>
    <t>Lisgar B</t>
  </si>
  <si>
    <t>Bell A</t>
  </si>
  <si>
    <t>Gloucester</t>
  </si>
  <si>
    <t>Merivale</t>
  </si>
  <si>
    <t>VCU Fall</t>
  </si>
  <si>
    <t>Clover Hill</t>
  </si>
  <si>
    <t>New Kent</t>
  </si>
  <si>
    <t>Collegiate</t>
  </si>
  <si>
    <t>http://quizbowlpackets.com/vcu/falltotal_standings.html</t>
  </si>
  <si>
    <t>Penn QuAC</t>
  </si>
  <si>
    <t>Richard Montgomery</t>
  </si>
  <si>
    <t>Millburn</t>
  </si>
  <si>
    <t>Kellenberg B</t>
  </si>
  <si>
    <t>Wilmington Charter C</t>
  </si>
  <si>
    <t>BATE</t>
  </si>
  <si>
    <t>Bill Currie</t>
  </si>
  <si>
    <t>Rock Bridge A</t>
  </si>
  <si>
    <t>Rock Bridge B</t>
  </si>
  <si>
    <t>Helias</t>
  </si>
  <si>
    <t>Technophobia Jr</t>
  </si>
  <si>
    <t>http://hsquizbowl.org/forums/viewtopic.php?f=1&amp;t=10601</t>
  </si>
  <si>
    <t>SAGACITY VI</t>
  </si>
  <si>
    <t>BRAVE Falcon '10</t>
  </si>
  <si>
    <t>Bel Air Invitational</t>
  </si>
  <si>
    <t>Columbia HS Tourney</t>
  </si>
  <si>
    <t>http://hsquizbowl.org/forums/viewtopic.php?f=1&amp;t=10358</t>
  </si>
  <si>
    <t>Louisville Academic Challenge</t>
  </si>
  <si>
    <t>http://hsquizbowl.org/forums/viewtopic.php?f=1&amp;t=9868</t>
  </si>
  <si>
    <t>Wright State Rowdy Raider</t>
  </si>
  <si>
    <t>http://hsquizbowl.org/forums/viewtopic.php?f=1&amp;t=9893</t>
  </si>
  <si>
    <t>Treasure Valley Tournament</t>
  </si>
  <si>
    <t>http://hsquizbowl.org/forums/viewtopic.php?f=1&amp;t=10612</t>
  </si>
  <si>
    <t>Minnesota Gopher Invitational</t>
  </si>
  <si>
    <t>http://hsquizbowl.org/forums/viewtopic.php?f=1&amp;t=10607</t>
  </si>
  <si>
    <t>GSAC XVIII @ MW</t>
  </si>
  <si>
    <t>http://hsquizbowl.org/forums/viewtopic.php?f=1&amp;t=10129</t>
  </si>
  <si>
    <t>Houston Holiday Hoedown</t>
  </si>
  <si>
    <t>Crusader Quiz Bowl XI</t>
  </si>
  <si>
    <t>Chattahoochee CATT VI</t>
  </si>
  <si>
    <t>http://hsquizbowl.org/forums/viewtopic.php?f=1&amp;t=10416</t>
  </si>
  <si>
    <t>Missouri S&amp;T</t>
  </si>
  <si>
    <t>http://hsquizbowl.org/forums/viewtopic.php?f=1&amp;t=10608</t>
  </si>
  <si>
    <t>2nd Annual Timberwolf Invitational</t>
  </si>
  <si>
    <t>Delaware Fall</t>
  </si>
  <si>
    <t>http://hsquizbowl.org/forums/viewtopic.php?f=1&amp;t=10523</t>
  </si>
  <si>
    <t>New Trier ADVANTAGE</t>
  </si>
  <si>
    <t>http://hsquizbowl.org/forums/viewtopic.php?f=1&amp;t=10130</t>
  </si>
  <si>
    <t>Tressler Invitational for Interscholastic Excellence</t>
  </si>
  <si>
    <t>21st Annual Hornet Invitational</t>
  </si>
  <si>
    <t>Half Hollow Hills West 17th Annual Invitational Tournament</t>
  </si>
  <si>
    <t>Dorman Cavalier Challenge</t>
  </si>
  <si>
    <t>http://hsquizbowl.org/forums/viewtopic.php?f=1&amp;t=10003</t>
  </si>
  <si>
    <t>Jaguar Challenge</t>
  </si>
  <si>
    <t>Springfield Invitational</t>
  </si>
  <si>
    <t>Culver Varsity</t>
  </si>
  <si>
    <t>http://hsquizbowl.org/forums/viewtopic.php?f=1&amp;t=9961</t>
  </si>
  <si>
    <t>WUHSAC</t>
  </si>
  <si>
    <t>http://hsquizbowl.org/forums/viewtopic.php?f=1&amp;t=10581</t>
  </si>
  <si>
    <t>Bulldog Brawl</t>
  </si>
  <si>
    <t>2011 PORTA Varsity Invitational</t>
  </si>
  <si>
    <t>Locust Grove 2nd Annual "Challenge in the Grove"</t>
  </si>
  <si>
    <t>Copiah-Lincoln Invitational</t>
  </si>
  <si>
    <t>Olmsted Falls Bulldog Battle Buzz</t>
  </si>
  <si>
    <t>http://hsquizbowl.org/forums/viewtopic.php?f=1&amp;t=10437</t>
  </si>
  <si>
    <t>Torrey Pines Open</t>
  </si>
  <si>
    <t>http://hsquizbowl.org/forums/viewtopic.php?f=1&amp;t=10349</t>
  </si>
  <si>
    <t>Huskie Bowl</t>
  </si>
  <si>
    <t>2011 Groundhog Day Academic Tournament</t>
  </si>
  <si>
    <t>DAR Invitational</t>
  </si>
  <si>
    <t>Run for the Roses</t>
  </si>
  <si>
    <t>El Paso Texas Challenge</t>
  </si>
  <si>
    <t>Another Bossick Tournament</t>
  </si>
  <si>
    <t>http://www.createphpbb.com/phpbb/viewtopic.php?t=838&amp;mforum=oac</t>
  </si>
  <si>
    <t>The Glen Gonsalves Memorial Tournament</t>
  </si>
  <si>
    <t>Villa Duchesne Invitational</t>
  </si>
  <si>
    <t>Case Western FATE</t>
  </si>
  <si>
    <t>http://hsquizbowl.org/forums/viewtopic.php?f=1&amp;t=10479</t>
  </si>
  <si>
    <t>Texas QB State Champ</t>
  </si>
  <si>
    <t>Rotary Club Indiana Quizbowl State Championship</t>
  </si>
  <si>
    <t>http://sites.google.com/site/rotaryquizbowl/</t>
  </si>
  <si>
    <t>BATE Tournament</t>
  </si>
  <si>
    <t>PSAT/NMSQT</t>
  </si>
  <si>
    <t>http://hsquizbowl.org/forums/viewtopic.php?f=1&amp;t=9940</t>
  </si>
  <si>
    <t>Savannah Invitational</t>
  </si>
  <si>
    <t>Rocket Surgery II</t>
  </si>
  <si>
    <t>KPAQT</t>
  </si>
  <si>
    <t>http://hsquizbowl.org/forums/viewtopic.php?f=1&amp;t=10490</t>
  </si>
  <si>
    <t>Jaguar Bowl V</t>
  </si>
  <si>
    <t>Western NC Shootout</t>
  </si>
  <si>
    <t>Bridgeport High School Invitational Tournament</t>
  </si>
  <si>
    <t>Missouri S&amp;T Spring High School Tournament</t>
  </si>
  <si>
    <t>Ransom Everglades Invitational</t>
  </si>
  <si>
    <t>MSU March Madness Invitational</t>
  </si>
  <si>
    <t>Texas Invitational</t>
  </si>
  <si>
    <t>http://hsquizbowl.org/forums/viewtopic.php?f=1&amp;t=10167</t>
  </si>
  <si>
    <t>Malvinas Day Memorial Event</t>
  </si>
  <si>
    <t>Ysleta Academic Shoot Ou</t>
  </si>
  <si>
    <t>Tiger Academic Challenge II</t>
  </si>
  <si>
    <t>http://hsquizbowl.org/forums/viewtopic.php?f=1&amp;t=9657</t>
  </si>
  <si>
    <t>Danville Spring Invitational</t>
  </si>
  <si>
    <t>2011 Midwest Championship</t>
  </si>
  <si>
    <t>http://hsquizbowl.org/forums/viewtopic.php?f=1&amp;t=9955</t>
  </si>
  <si>
    <t>Cardinal Junior Classic</t>
  </si>
  <si>
    <t>http://quizbowl.stanford.edu/tournaments/2010_cardinal_junior_classic/</t>
  </si>
  <si>
    <t>George C. Marshall</t>
  </si>
  <si>
    <t>Oak Park-River Forest</t>
  </si>
  <si>
    <t>Carmel</t>
  </si>
  <si>
    <t>Libertyville</t>
  </si>
  <si>
    <t>Latin</t>
  </si>
  <si>
    <t>Fremd</t>
  </si>
  <si>
    <t>Lake Zurich</t>
  </si>
  <si>
    <t>Buffalo Grove</t>
  </si>
  <si>
    <t>Kickoff Wheaton North</t>
  </si>
  <si>
    <t>Glenwood</t>
  </si>
  <si>
    <t>Kickoff PORTA</t>
  </si>
  <si>
    <t>Macomb</t>
  </si>
  <si>
    <t>Springfield</t>
  </si>
  <si>
    <t>Kickoff Greenville</t>
  </si>
  <si>
    <t>Greenville</t>
  </si>
  <si>
    <t>Kickoff Centennial</t>
  </si>
  <si>
    <t>no stats expected</t>
  </si>
  <si>
    <t>WL only</t>
  </si>
  <si>
    <t>PPG only</t>
  </si>
  <si>
    <t>Lincoln</t>
  </si>
  <si>
    <t>Lawton Chiles</t>
  </si>
  <si>
    <t>Maclay School B</t>
  </si>
  <si>
    <t>Maclay School A</t>
  </si>
  <si>
    <t>Maclay School C</t>
  </si>
  <si>
    <t>Leon</t>
  </si>
  <si>
    <t>waiting</t>
  </si>
  <si>
    <t>Olmsted Falls A</t>
  </si>
  <si>
    <t>Parkersburg Catholic</t>
  </si>
  <si>
    <t>Spartan Showdown</t>
  </si>
  <si>
    <t>St. John's</t>
  </si>
  <si>
    <t>Bellaire A</t>
  </si>
  <si>
    <t>Bellaire B</t>
  </si>
  <si>
    <t>Kinkaid A</t>
  </si>
  <si>
    <t>Westside</t>
  </si>
  <si>
    <t>Temple</t>
  </si>
  <si>
    <t>http://www.texasquizbowl.org/d/10spartan2/Varsity_standings.html</t>
  </si>
  <si>
    <t>North White</t>
  </si>
  <si>
    <t>North White Kickoff</t>
  </si>
  <si>
    <t>William Henry Harrison A</t>
  </si>
  <si>
    <t>William Henry Harrison B</t>
  </si>
  <si>
    <t>North Miami</t>
  </si>
  <si>
    <t>Hobart</t>
  </si>
  <si>
    <t>William Henry Harrison C</t>
  </si>
  <si>
    <t>Bethesda Chevy Chase</t>
  </si>
  <si>
    <t>BOKCHOI</t>
  </si>
  <si>
    <t>Hoover Varsity A</t>
  </si>
  <si>
    <t>Catholic B</t>
  </si>
  <si>
    <t>Russellville A</t>
  </si>
  <si>
    <t>St. Andrew's B</t>
  </si>
  <si>
    <t>Calhoun B</t>
  </si>
  <si>
    <t>St Andrew's A</t>
  </si>
  <si>
    <t>Hume-Fogg Varsity</t>
  </si>
  <si>
    <t>Covenant Christian A</t>
  </si>
  <si>
    <t>Randolph Varsity</t>
  </si>
  <si>
    <t>Columbia A</t>
  </si>
  <si>
    <t>Ezell-Harding Varsity A</t>
  </si>
  <si>
    <t>Catholic A</t>
  </si>
  <si>
    <t>Lincoln Co Varsity A</t>
  </si>
  <si>
    <t>Calhoun A</t>
  </si>
  <si>
    <t>DAR B</t>
  </si>
  <si>
    <t>St. Andrew's A</t>
  </si>
  <si>
    <t>Hoover A</t>
  </si>
  <si>
    <t>LAMP A</t>
  </si>
  <si>
    <t>Indian Springs</t>
  </si>
  <si>
    <t>Hoover B</t>
  </si>
  <si>
    <t>DAR C</t>
  </si>
  <si>
    <t>LAMP B</t>
  </si>
  <si>
    <t>Scab</t>
  </si>
  <si>
    <t>Columbia B</t>
  </si>
  <si>
    <t>Drummond</t>
  </si>
  <si>
    <t>Hilldale</t>
  </si>
  <si>
    <t>Ponca City</t>
  </si>
  <si>
    <t>Stillwater B</t>
  </si>
  <si>
    <t>Blackwell</t>
  </si>
  <si>
    <t>Caney Valley</t>
  </si>
  <si>
    <t>Stillwater C</t>
  </si>
  <si>
    <t>Longfellow Middle</t>
  </si>
  <si>
    <t>Thomas Jefferson C</t>
  </si>
  <si>
    <t>James Blake</t>
  </si>
  <si>
    <t>Howard</t>
  </si>
  <si>
    <t>BCA A</t>
  </si>
  <si>
    <t>Chatham A</t>
  </si>
  <si>
    <t>White Plains B</t>
  </si>
  <si>
    <t>North Babylon</t>
  </si>
  <si>
    <t>Kings Park B</t>
  </si>
  <si>
    <t>White Plains A</t>
  </si>
  <si>
    <t>Team USA</t>
  </si>
  <si>
    <t>Livingston B</t>
  </si>
  <si>
    <t>JF Kennedy</t>
  </si>
  <si>
    <t>Kings Park A</t>
  </si>
  <si>
    <t>Paramus Catholic B</t>
  </si>
  <si>
    <t>St. Joseph's C</t>
  </si>
  <si>
    <t>Chatham C</t>
  </si>
  <si>
    <t>St. Joseph's A</t>
  </si>
  <si>
    <t>BCA B</t>
  </si>
  <si>
    <t>St. Joseph's B</t>
  </si>
  <si>
    <t>Paramus Catholic A</t>
  </si>
  <si>
    <t>Livingston C</t>
  </si>
  <si>
    <t>Bloomfield</t>
  </si>
  <si>
    <t>Chatham B</t>
  </si>
  <si>
    <t>Seymour A</t>
  </si>
  <si>
    <t>CSAS</t>
  </si>
  <si>
    <t>Murray County A</t>
  </si>
  <si>
    <t>Gatlinburg-Pittman</t>
  </si>
  <si>
    <t>Northwest Whitfield B</t>
  </si>
  <si>
    <t>Ooltewah</t>
  </si>
  <si>
    <t>Murray County B</t>
  </si>
  <si>
    <t>Seymour B</t>
  </si>
  <si>
    <t>Northwest Whitfield A</t>
  </si>
  <si>
    <t>Guilford A</t>
  </si>
  <si>
    <t>East CH A</t>
  </si>
  <si>
    <t>Hoggard</t>
  </si>
  <si>
    <t>Raleigh Charter D</t>
  </si>
  <si>
    <t>Saint Mary's</t>
  </si>
  <si>
    <t>NCSSM A</t>
  </si>
  <si>
    <t>Cave Spring B</t>
  </si>
  <si>
    <t>Grimsley A</t>
  </si>
  <si>
    <t>Raleigh Charter E</t>
  </si>
  <si>
    <t>Early College B</t>
  </si>
  <si>
    <t>Cave Spring A</t>
  </si>
  <si>
    <t>Guilford B</t>
  </si>
  <si>
    <t>Raleigh Charter B</t>
  </si>
  <si>
    <t>NCSSM B</t>
  </si>
  <si>
    <t>Richmond</t>
  </si>
  <si>
    <t>KIPP Pride B</t>
  </si>
  <si>
    <t>Grimsley B</t>
  </si>
  <si>
    <t>REaCH</t>
  </si>
  <si>
    <t>KIPP Pride A</t>
  </si>
  <si>
    <t>Early College A</t>
  </si>
  <si>
    <t>Raleigh Charter F</t>
  </si>
  <si>
    <t>KIPP Pride C</t>
  </si>
  <si>
    <t>Raleigh Charter C</t>
  </si>
  <si>
    <t>Robinson</t>
  </si>
  <si>
    <t>Chapel Hill</t>
  </si>
  <si>
    <t>East CH B</t>
  </si>
  <si>
    <t>Seton Hall Pirate Open</t>
  </si>
  <si>
    <t>Lakota West</t>
  </si>
  <si>
    <t>Centerville A</t>
  </si>
  <si>
    <t>Benjamin Logan</t>
  </si>
  <si>
    <t>Butler A</t>
  </si>
  <si>
    <t>Bellefontaine</t>
  </si>
  <si>
    <t>Butler B</t>
  </si>
  <si>
    <t>Centerville B</t>
  </si>
  <si>
    <t>Dunbar DAFT</t>
  </si>
  <si>
    <t>House 1</t>
  </si>
  <si>
    <t>Bate A</t>
  </si>
  <si>
    <t>House 2</t>
  </si>
  <si>
    <t>Bate B</t>
  </si>
  <si>
    <t>DDII (duPont)</t>
  </si>
  <si>
    <t>High Tech A</t>
  </si>
  <si>
    <t>Great Neck South A</t>
  </si>
  <si>
    <t>Pingry B</t>
  </si>
  <si>
    <t>Newark Acad. B</t>
  </si>
  <si>
    <t>Pingry A</t>
  </si>
  <si>
    <t>Millburn B</t>
  </si>
  <si>
    <t>High Tech C</t>
  </si>
  <si>
    <t>Great Neck South B</t>
  </si>
  <si>
    <t>Millburn A</t>
  </si>
  <si>
    <t>Conestoga B</t>
  </si>
  <si>
    <t>High Tech B</t>
  </si>
  <si>
    <t>St. Joseph B</t>
  </si>
  <si>
    <t>St. Joseph A</t>
  </si>
  <si>
    <t>Conestoga A</t>
  </si>
  <si>
    <t>Charter C</t>
  </si>
  <si>
    <t>North Shore</t>
  </si>
  <si>
    <t>Bloomfield B</t>
  </si>
  <si>
    <t>Colonia</t>
  </si>
  <si>
    <t>Bergen A</t>
  </si>
  <si>
    <t>MAST A</t>
  </si>
  <si>
    <t>Millburn C</t>
  </si>
  <si>
    <t>Bloomfield A</t>
  </si>
  <si>
    <t>Ranney A</t>
  </si>
  <si>
    <t>Bergen B</t>
  </si>
  <si>
    <t>Newark Acad. A</t>
  </si>
  <si>
    <t>Biotech High</t>
  </si>
  <si>
    <t>MAST B</t>
  </si>
  <si>
    <t>St. Joseph C</t>
  </si>
  <si>
    <t>Rancho Bernardo A</t>
  </si>
  <si>
    <t>Arcadia A</t>
  </si>
  <si>
    <t>Bishop's School in La Jolla</t>
  </si>
  <si>
    <t>North Hollywood A</t>
  </si>
  <si>
    <t>Arcadia B</t>
  </si>
  <si>
    <t>Irvine</t>
  </si>
  <si>
    <t>North Hollywood B</t>
  </si>
  <si>
    <t>Arcadia D</t>
  </si>
  <si>
    <t>Arcadia C</t>
  </si>
  <si>
    <t>Rancho Bernardo B</t>
  </si>
  <si>
    <t>Palisades A</t>
  </si>
  <si>
    <t>Edison B</t>
  </si>
  <si>
    <t>Copley A</t>
  </si>
  <si>
    <t>Hawken A</t>
  </si>
  <si>
    <t>Olmsted Falls B</t>
  </si>
  <si>
    <t>Cloverleaf A</t>
  </si>
  <si>
    <t>Beachwood B</t>
  </si>
  <si>
    <t>Padua A</t>
  </si>
  <si>
    <t>Solon C</t>
  </si>
  <si>
    <t>Southeast B</t>
  </si>
  <si>
    <t>Solon A</t>
  </si>
  <si>
    <t>Beachwood A</t>
  </si>
  <si>
    <t>Olmsted Falls C</t>
  </si>
  <si>
    <t>Copley B</t>
  </si>
  <si>
    <t>Hawken C</t>
  </si>
  <si>
    <t>North Olmsted A</t>
  </si>
  <si>
    <t>St. Ignatius B</t>
  </si>
  <si>
    <t>St. Ignatius A</t>
  </si>
  <si>
    <t>Solon B</t>
  </si>
  <si>
    <t>Hawken B</t>
  </si>
  <si>
    <t>Copley C</t>
  </si>
  <si>
    <t>South Range A</t>
  </si>
  <si>
    <t>Southeast A</t>
  </si>
  <si>
    <t>Streetsboro A</t>
  </si>
  <si>
    <t>LASA Green B</t>
  </si>
  <si>
    <t>St Stephens</t>
  </si>
  <si>
    <t>St Marks</t>
  </si>
  <si>
    <t>Cisterson A</t>
  </si>
  <si>
    <t>Cistercion B</t>
  </si>
  <si>
    <t>St Johns A</t>
  </si>
  <si>
    <t>LASA Red C</t>
  </si>
  <si>
    <t>LASA Blue A</t>
  </si>
  <si>
    <t>John Cooper</t>
  </si>
  <si>
    <t>Seven Lakes</t>
  </si>
  <si>
    <t>Awty</t>
  </si>
  <si>
    <t>Memorial</t>
  </si>
  <si>
    <t>St Johns B</t>
  </si>
  <si>
    <t>Clear Lake A</t>
  </si>
  <si>
    <t>Clear Lake B</t>
  </si>
  <si>
    <t>Mission San Jose B</t>
  </si>
  <si>
    <t>Mission San Jose C</t>
  </si>
  <si>
    <t>Mission San Jose D</t>
  </si>
  <si>
    <t>Campbell</t>
  </si>
  <si>
    <t>Paducah Tilghman</t>
  </si>
  <si>
    <t>Adair B</t>
  </si>
  <si>
    <t>North Shelby (Small School)</t>
  </si>
  <si>
    <t>Hickman</t>
  </si>
  <si>
    <t>Lutheran</t>
  </si>
  <si>
    <t>Kickapoo A</t>
  </si>
  <si>
    <t>Tuscumbia B (Small School)</t>
  </si>
  <si>
    <t>Jefferson City High School</t>
  </si>
  <si>
    <t>Pilot Grove (Small School)</t>
  </si>
  <si>
    <t>West Junior High</t>
  </si>
  <si>
    <t>Villa Duchesne B</t>
  </si>
  <si>
    <t>Villa Duchesne A</t>
  </si>
  <si>
    <t>NKCHS</t>
  </si>
  <si>
    <t>Centralia (Small School)</t>
  </si>
  <si>
    <t>Kickapoo B</t>
  </si>
  <si>
    <t>Tuscumbia A (Small School)</t>
  </si>
  <si>
    <t>North Babylon A</t>
  </si>
  <si>
    <t>H Greeley A</t>
  </si>
  <si>
    <t>Great Neck S A</t>
  </si>
  <si>
    <t>HHHW B</t>
  </si>
  <si>
    <t>Locust Valley A</t>
  </si>
  <si>
    <t>HHHW A</t>
  </si>
  <si>
    <t>White Plains C</t>
  </si>
  <si>
    <t>North Shore B</t>
  </si>
  <si>
    <t>Bergen D</t>
  </si>
  <si>
    <t>Seton Hall A</t>
  </si>
  <si>
    <t>White Plains D</t>
  </si>
  <si>
    <t>H Greeley B</t>
  </si>
  <si>
    <t>OLMA/Kberg C</t>
  </si>
  <si>
    <t>St. Marks A</t>
  </si>
  <si>
    <t>St. Marks B</t>
  </si>
  <si>
    <t>Plano West A</t>
  </si>
  <si>
    <t>Prosper A</t>
  </si>
  <si>
    <t>St. Marks C</t>
  </si>
  <si>
    <t>Plano West B</t>
  </si>
  <si>
    <t>Parish</t>
  </si>
  <si>
    <t>Prosper B</t>
  </si>
  <si>
    <t>Country Day</t>
  </si>
  <si>
    <t>Parkersburg A</t>
  </si>
  <si>
    <t>Wheeling Park</t>
  </si>
  <si>
    <t>Brooke A</t>
  </si>
  <si>
    <t>DuBois B</t>
  </si>
  <si>
    <t>John Marshall A</t>
  </si>
  <si>
    <t>Bridgeport C</t>
  </si>
  <si>
    <t>George Washington B</t>
  </si>
  <si>
    <t>Parkersburg South</t>
  </si>
  <si>
    <t>South Range</t>
  </si>
  <si>
    <t>Charleston Catholic B</t>
  </si>
  <si>
    <t>Parkersburg B</t>
  </si>
  <si>
    <t>Brooke B</t>
  </si>
  <si>
    <t>John Marshall B</t>
  </si>
  <si>
    <t>DuBois D</t>
  </si>
  <si>
    <t>DuBois A</t>
  </si>
  <si>
    <t>Bridgeport B</t>
  </si>
  <si>
    <t>Ritchie County</t>
  </si>
  <si>
    <t>Lincoln A</t>
  </si>
  <si>
    <t>Parkersburg D</t>
  </si>
  <si>
    <t>Cameron</t>
  </si>
  <si>
    <t>Bridgeport A</t>
  </si>
  <si>
    <t>George Washington A</t>
  </si>
  <si>
    <t>Charleston Catholic A</t>
  </si>
  <si>
    <t>Notre Dame</t>
  </si>
  <si>
    <t>Parkersburg C</t>
  </si>
  <si>
    <t>DuBois C</t>
  </si>
  <si>
    <t>Lincoln B</t>
  </si>
  <si>
    <t>Rickards A</t>
  </si>
  <si>
    <t>Pensacola Scatch</t>
  </si>
  <si>
    <t>Rickards B</t>
  </si>
  <si>
    <t>Tate A</t>
  </si>
  <si>
    <t>Rocky Bayou B</t>
  </si>
  <si>
    <t>Rocky Bayou A</t>
  </si>
  <si>
    <t>Tate B</t>
  </si>
  <si>
    <t>Pine Forest</t>
  </si>
  <si>
    <t>Washington</t>
  </si>
  <si>
    <t>Southside Christian A</t>
  </si>
  <si>
    <t>Riverside</t>
  </si>
  <si>
    <t>Wade Hampton</t>
  </si>
  <si>
    <t>Seneca B</t>
  </si>
  <si>
    <t>Mauldin</t>
  </si>
  <si>
    <t>Spartanburg A</t>
  </si>
  <si>
    <t>Seneca A</t>
  </si>
  <si>
    <t>GT Charter A</t>
  </si>
  <si>
    <t>Blue Ridge</t>
  </si>
  <si>
    <t>Dorman D</t>
  </si>
  <si>
    <t>Walhalla</t>
  </si>
  <si>
    <t>Spartanburg B</t>
  </si>
  <si>
    <t>Berea</t>
  </si>
  <si>
    <t>New Trier A</t>
  </si>
  <si>
    <t>Chatham-Glenwood</t>
  </si>
  <si>
    <t>Fenton</t>
  </si>
  <si>
    <t>Champaign-Centennial</t>
  </si>
  <si>
    <t>Jefferson City</t>
  </si>
  <si>
    <t>Rolling Meadows</t>
  </si>
  <si>
    <t>New Trier B</t>
  </si>
  <si>
    <t>Drallab</t>
  </si>
  <si>
    <t>Woodford A</t>
  </si>
  <si>
    <t>Ezell Harding C</t>
  </si>
  <si>
    <t>Woodford C</t>
  </si>
  <si>
    <t>Brentwood</t>
  </si>
  <si>
    <t>Ezell Harding A</t>
  </si>
  <si>
    <t>Edmonson</t>
  </si>
  <si>
    <t>Madisonville</t>
  </si>
  <si>
    <t>Adair County B</t>
  </si>
  <si>
    <t>Woodford B</t>
  </si>
  <si>
    <t>Marshall</t>
  </si>
  <si>
    <t>Woodford D</t>
  </si>
  <si>
    <t>Dorman (SC) A</t>
  </si>
  <si>
    <t>Enloe B</t>
  </si>
  <si>
    <t>Greensboro Day</t>
  </si>
  <si>
    <t>Thomas Jefferson Classical</t>
  </si>
  <si>
    <t>East Chapel Hill</t>
  </si>
  <si>
    <t>Dorman (SC) B</t>
  </si>
  <si>
    <t>Richmond Senior</t>
  </si>
  <si>
    <t>Providence Day A</t>
  </si>
  <si>
    <t>Providence Day B</t>
  </si>
  <si>
    <t>E.C. Glass</t>
  </si>
  <si>
    <t>Freedom</t>
  </si>
  <si>
    <t>Southeast Guilford</t>
  </si>
  <si>
    <t>Western Harnett</t>
  </si>
  <si>
    <t>Nash Central</t>
  </si>
  <si>
    <t>Carlisle</t>
  </si>
  <si>
    <t>Western Guilford</t>
  </si>
  <si>
    <t>Bishop Canevin</t>
  </si>
  <si>
    <t>Keystone Oaks A</t>
  </si>
  <si>
    <t>Brashear B</t>
  </si>
  <si>
    <t>Brashear A</t>
  </si>
  <si>
    <t>Keystone Oaks B</t>
  </si>
  <si>
    <t>Keystone Oaks C</t>
  </si>
  <si>
    <t xml:space="preserve">Shady Side </t>
  </si>
  <si>
    <t>Newtown</t>
  </si>
  <si>
    <t>NFA A</t>
  </si>
  <si>
    <t>HHH B</t>
  </si>
  <si>
    <t>E.O. Smith C</t>
  </si>
  <si>
    <t>E.O. Smith B</t>
  </si>
  <si>
    <t>HHH C</t>
  </si>
  <si>
    <t>NFA B</t>
  </si>
  <si>
    <t>E.O. Smith A</t>
  </si>
  <si>
    <t>Terryville</t>
  </si>
  <si>
    <t>Simsbury B</t>
  </si>
  <si>
    <t>Simsbury A</t>
  </si>
  <si>
    <t>Charter D</t>
  </si>
  <si>
    <t>HHH A</t>
  </si>
  <si>
    <t>Thomaston</t>
  </si>
  <si>
    <t>Charter E</t>
  </si>
  <si>
    <t>Rancho Alamitos A</t>
  </si>
  <si>
    <t>Rancho Alamitos B</t>
  </si>
  <si>
    <t>North Miami A</t>
  </si>
  <si>
    <t>Hobart A</t>
  </si>
  <si>
    <t>North White A</t>
  </si>
  <si>
    <t>Delphi A</t>
  </si>
  <si>
    <t>North White B</t>
  </si>
  <si>
    <t>Hobart B</t>
  </si>
  <si>
    <t>William Henry Harrison D</t>
  </si>
  <si>
    <t>Culver B</t>
  </si>
  <si>
    <t>Delphi B</t>
  </si>
  <si>
    <t>North White Kick-off</t>
  </si>
  <si>
    <t>TJ A</t>
  </si>
  <si>
    <t>TJ C</t>
  </si>
  <si>
    <t>Caeser Rodney</t>
  </si>
  <si>
    <t>Calvert Hall</t>
  </si>
  <si>
    <t>GDS</t>
  </si>
  <si>
    <t>TJ B</t>
  </si>
  <si>
    <t>House Team</t>
  </si>
  <si>
    <t>Centennial C</t>
  </si>
  <si>
    <t>Centennial B</t>
  </si>
  <si>
    <t>Rockville</t>
  </si>
  <si>
    <t>Poolesville</t>
  </si>
  <si>
    <t>Langley</t>
  </si>
  <si>
    <t>Whitman</t>
  </si>
  <si>
    <t>Longfellow A</t>
  </si>
  <si>
    <t>Banneker A</t>
  </si>
  <si>
    <t>Centennial D</t>
  </si>
  <si>
    <t>Longfellow B</t>
  </si>
  <si>
    <t>Centennial A</t>
  </si>
  <si>
    <t>Centennial E</t>
  </si>
  <si>
    <t>Banneker B</t>
  </si>
  <si>
    <t>St. Charles A</t>
  </si>
  <si>
    <t>Warren G Harding A</t>
  </si>
  <si>
    <t>Tippecanoe A</t>
  </si>
  <si>
    <t>Monroeville</t>
  </si>
  <si>
    <t>Brush A</t>
  </si>
  <si>
    <t>St. Charles B</t>
  </si>
  <si>
    <t>Columbus Alternative A</t>
  </si>
  <si>
    <t>Fisher Catholic</t>
  </si>
  <si>
    <t>Warren G Harding B</t>
  </si>
  <si>
    <t>RM FRIGHT</t>
  </si>
  <si>
    <t>Westbrook Christian A</t>
  </si>
  <si>
    <t>Oxford A</t>
  </si>
  <si>
    <t>Sand Rock Varsity</t>
  </si>
  <si>
    <t>Hume-Fogg A</t>
  </si>
  <si>
    <t>ASFA</t>
  </si>
  <si>
    <t>PJP II Catholic B</t>
  </si>
  <si>
    <t>Russellville Varsity</t>
  </si>
  <si>
    <t>Oxford C</t>
  </si>
  <si>
    <t>PJP II Catholic A</t>
  </si>
  <si>
    <t>Northridge A</t>
  </si>
  <si>
    <t>KDS DAR Varsity</t>
  </si>
  <si>
    <t>Westbrook Christian B</t>
  </si>
  <si>
    <t>Oxford B</t>
  </si>
  <si>
    <t>Trinity Presbyterian</t>
  </si>
  <si>
    <t>Spain Park Varsity</t>
  </si>
  <si>
    <t>Indian Springs Varsity</t>
  </si>
  <si>
    <t>Northridge B</t>
  </si>
  <si>
    <t>TV Math and Science pi</t>
  </si>
  <si>
    <t>Juan Diego A</t>
  </si>
  <si>
    <t>Bishop Kelly A</t>
  </si>
  <si>
    <t>Juan Diego B</t>
  </si>
  <si>
    <t>TV Math and Science e</t>
  </si>
  <si>
    <t>Rocky Mountain</t>
  </si>
  <si>
    <t>Payette B</t>
  </si>
  <si>
    <t>Bishop Kelly B</t>
  </si>
  <si>
    <t>Payette A</t>
  </si>
  <si>
    <t>Kuna</t>
  </si>
  <si>
    <t>MSJ E</t>
  </si>
  <si>
    <t>MSJ C</t>
  </si>
  <si>
    <t>Santa Teresa</t>
  </si>
  <si>
    <t>Phil Fills for Mills</t>
  </si>
  <si>
    <t>MSJ A</t>
  </si>
  <si>
    <t>Harker</t>
  </si>
  <si>
    <t>Bellarmine E</t>
  </si>
  <si>
    <t>Archbishop Riordan</t>
  </si>
  <si>
    <t>Chanhassen A</t>
  </si>
  <si>
    <t>St. Paul Central</t>
  </si>
  <si>
    <t>Eden Prairie C</t>
  </si>
  <si>
    <t>Minnetonka A</t>
  </si>
  <si>
    <t>Wayzata A</t>
  </si>
  <si>
    <t>Athens</t>
  </si>
  <si>
    <t>Chanhassen B</t>
  </si>
  <si>
    <t>Chaska A</t>
  </si>
  <si>
    <t>Chaska B</t>
  </si>
  <si>
    <t>Hudson A</t>
  </si>
  <si>
    <t>Mounds Park A</t>
  </si>
  <si>
    <t>Mounds Park B</t>
  </si>
  <si>
    <t>Mounds Park D</t>
  </si>
  <si>
    <t>John F. Kennedy</t>
  </si>
  <si>
    <t>Wayzata B</t>
  </si>
  <si>
    <t>Minnetonka C</t>
  </si>
  <si>
    <t>Minnetonka B</t>
  </si>
  <si>
    <t>Chaska C</t>
  </si>
  <si>
    <t>Mounds Park C</t>
  </si>
  <si>
    <t>Hudson B</t>
  </si>
  <si>
    <t>St. Joe's A</t>
  </si>
  <si>
    <t>East Brunswick A</t>
  </si>
  <si>
    <t>Wissahickon A</t>
  </si>
  <si>
    <t>GNS A</t>
  </si>
  <si>
    <t>Ridgewood A</t>
  </si>
  <si>
    <t>East Brunswick B</t>
  </si>
  <si>
    <t>St. Joe's B</t>
  </si>
  <si>
    <t>GNS B</t>
  </si>
  <si>
    <t>Glen Rock C</t>
  </si>
  <si>
    <t>St. Joe's C</t>
  </si>
  <si>
    <t>Ranney B</t>
  </si>
  <si>
    <t>Wissahickon B</t>
  </si>
  <si>
    <t>Seton Hall B</t>
  </si>
  <si>
    <t>Ridgewood B</t>
  </si>
  <si>
    <t>Kellenberg C</t>
  </si>
  <si>
    <t>Glen Rock A</t>
  </si>
  <si>
    <t>Glen Rock B</t>
  </si>
  <si>
    <t>Clayton A</t>
  </si>
  <si>
    <t>De Smet</t>
  </si>
  <si>
    <t>Hannibal</t>
  </si>
  <si>
    <t>Clayton B</t>
  </si>
  <si>
    <t>Rockwood Summit B</t>
  </si>
  <si>
    <t>Jefferson</t>
  </si>
  <si>
    <t>Rockwood Summit A</t>
  </si>
  <si>
    <t>Lawton Chiles A</t>
  </si>
  <si>
    <t>Eastside A</t>
  </si>
  <si>
    <t>Leon A</t>
  </si>
  <si>
    <t>South Fork B</t>
  </si>
  <si>
    <t>Branford A</t>
  </si>
  <si>
    <t>South Fork A</t>
  </si>
  <si>
    <t>Collegiate High at NWFSC A</t>
  </si>
  <si>
    <t>FSUS A</t>
  </si>
  <si>
    <t>Collegiate High at NWFSC C</t>
  </si>
  <si>
    <t>Lawton Chiles B</t>
  </si>
  <si>
    <t>Wakulla A</t>
  </si>
  <si>
    <t>Eastside B</t>
  </si>
  <si>
    <t>Collegiate High at NWFSC B</t>
  </si>
  <si>
    <t>Wakulla B</t>
  </si>
  <si>
    <t>Santa Monica</t>
  </si>
  <si>
    <t>Rocky Grove</t>
  </si>
  <si>
    <t>SAGACITY</t>
  </si>
  <si>
    <t>Mercersburg</t>
  </si>
  <si>
    <t>Jayhawks</t>
  </si>
  <si>
    <t>Juan Diego Catholic</t>
  </si>
  <si>
    <t>BOKCHOI at Bell</t>
  </si>
  <si>
    <t>http://reach.bellhs.net/stats/bokchoi/bokchoi_standings.html</t>
  </si>
  <si>
    <t>Lisgar A/B</t>
  </si>
  <si>
    <t>Lisgar D</t>
  </si>
  <si>
    <t>Tiger Bowl III</t>
  </si>
  <si>
    <t>Parkway West</t>
  </si>
  <si>
    <t>Ladue B</t>
  </si>
  <si>
    <t>Ladue A</t>
  </si>
  <si>
    <t>HoHoHo</t>
  </si>
  <si>
    <t>St. John's A</t>
  </si>
  <si>
    <t>Missouri Tiger Bowl</t>
  </si>
  <si>
    <t>http://moquizbowl.com/viewtopic.php?f=2&amp;t=2175</t>
  </si>
  <si>
    <t>Rowdy Raider</t>
  </si>
  <si>
    <t>Russell</t>
  </si>
  <si>
    <t>Adair County</t>
  </si>
  <si>
    <t>Sycamore</t>
  </si>
  <si>
    <t>Treasure Valley and Math Center pi</t>
  </si>
  <si>
    <t>Treasure Valley</t>
  </si>
  <si>
    <t>GINVIT</t>
  </si>
  <si>
    <t>Eden Prairie</t>
  </si>
  <si>
    <t>St. Thomas</t>
  </si>
  <si>
    <t>GSAC</t>
  </si>
  <si>
    <t>Kellenberg</t>
  </si>
  <si>
    <t>Charlottesville</t>
  </si>
  <si>
    <t>Thomas Jefferson D</t>
  </si>
  <si>
    <t>Champlain Valley</t>
  </si>
  <si>
    <t>PHAT</t>
  </si>
  <si>
    <t>South Burlington A</t>
  </si>
  <si>
    <t>South Burlington B</t>
  </si>
  <si>
    <t>Hanover</t>
  </si>
  <si>
    <t>Northampton</t>
  </si>
  <si>
    <t>Middlebury</t>
  </si>
  <si>
    <t>http://hsquizbowl.org/forums/viewtopic.php?f=1&amp;t=10622</t>
  </si>
  <si>
    <t>Spartanburg Viking</t>
  </si>
  <si>
    <t>IS93A</t>
  </si>
  <si>
    <t>South Burlington</t>
  </si>
  <si>
    <t>CATT</t>
  </si>
  <si>
    <t>Bainbridge</t>
  </si>
  <si>
    <t>Auburn HFT</t>
  </si>
  <si>
    <t>DR YAKUB</t>
  </si>
  <si>
    <t>Richard Montgomery C</t>
  </si>
  <si>
    <t>Thomas Jefferson Not A</t>
  </si>
  <si>
    <t>Georgetown Day Not A</t>
  </si>
  <si>
    <t>Michigan Autumn Classic</t>
  </si>
  <si>
    <t>IS100</t>
  </si>
  <si>
    <t>Utica</t>
  </si>
  <si>
    <t>UoD Jesuit</t>
  </si>
  <si>
    <t>Novi B</t>
  </si>
  <si>
    <t>Novi A</t>
  </si>
  <si>
    <t>Detroit Country Day</t>
  </si>
  <si>
    <t>Grosse Point North</t>
  </si>
  <si>
    <t>Troy</t>
  </si>
  <si>
    <t>Mount Pleasant</t>
  </si>
  <si>
    <t>Georgetown Day A</t>
  </si>
  <si>
    <t>Henderson</t>
  </si>
  <si>
    <t>Moravian</t>
  </si>
  <si>
    <t>Caesar Rodney A</t>
  </si>
  <si>
    <t>ADVANTAGE</t>
  </si>
  <si>
    <t>Wheaton Warrenville South</t>
  </si>
  <si>
    <t>Latin School</t>
  </si>
  <si>
    <t>Ezell-Harding B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</si>
</sst>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16" fontId="0" fillId="0" borderId="0" xfId="0" applyNumberFormat="1" applyFont="1"/>
    <xf numFmtId="0" fontId="0" fillId="0" borderId="0" xfId="0" applyFont="1"/>
    <xf numFmtId="0" fontId="2" fillId="0" borderId="0" xfId="1" applyFont="1" applyAlignment="1" applyProtection="1"/>
    <xf numFmtId="0" fontId="2" fillId="0" borderId="0" xfId="1" applyAlignment="1" applyProtection="1"/>
    <xf numFmtId="0" fontId="1" fillId="0" borderId="0" xfId="0" applyFont="1"/>
    <xf numFmtId="16" fontId="1" fillId="0" borderId="0" xfId="0" applyNumberFormat="1" applyFont="1"/>
    <xf numFmtId="16" fontId="0" fillId="0" borderId="0" xfId="0" applyNumberFormat="1"/>
    <xf numFmtId="0" fontId="5" fillId="0" borderId="0" xfId="1" applyFont="1" applyAlignment="1" applyProtection="1"/>
    <xf numFmtId="164" fontId="1" fillId="0" borderId="0" xfId="0" applyNumberFormat="1" applyFont="1"/>
    <xf numFmtId="164" fontId="0" fillId="0" borderId="0" xfId="0" applyNumberFormat="1"/>
    <xf numFmtId="164" fontId="0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2" fontId="0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hsquizbowl.org/forums/viewtopic.php?f=1&amp;t=9657" TargetMode="External"/><Relationship Id="rId18" Type="http://schemas.openxmlformats.org/officeDocument/2006/relationships/hyperlink" Target="http://hsquizbowl.org/forums/viewtopic.php?f=1&amp;t=9868" TargetMode="External"/><Relationship Id="rId26" Type="http://schemas.openxmlformats.org/officeDocument/2006/relationships/hyperlink" Target="http://hsquizbowl.org/forums/viewtopic.php?f=1&amp;t=10349" TargetMode="External"/><Relationship Id="rId39" Type="http://schemas.openxmlformats.org/officeDocument/2006/relationships/hyperlink" Target="http://naqt.com/schedule.jsp?hs=yes" TargetMode="External"/><Relationship Id="rId21" Type="http://schemas.openxmlformats.org/officeDocument/2006/relationships/hyperlink" Target="http://hsquizbowl.org/forums/viewtopic.php?f=1&amp;t=10437" TargetMode="External"/><Relationship Id="rId34" Type="http://schemas.openxmlformats.org/officeDocument/2006/relationships/hyperlink" Target="http://naqt.com/schedule.jsp?hs=yes" TargetMode="External"/><Relationship Id="rId42" Type="http://schemas.openxmlformats.org/officeDocument/2006/relationships/hyperlink" Target="http://naqt.com/schedule.jsp?hs=yes" TargetMode="External"/><Relationship Id="rId47" Type="http://schemas.openxmlformats.org/officeDocument/2006/relationships/hyperlink" Target="http://naqt.com/schedule.jsp?hs=yes" TargetMode="External"/><Relationship Id="rId50" Type="http://schemas.openxmlformats.org/officeDocument/2006/relationships/hyperlink" Target="http://naqt.com/schedule.jsp?hs=yes" TargetMode="External"/><Relationship Id="rId55" Type="http://schemas.openxmlformats.org/officeDocument/2006/relationships/hyperlink" Target="http://naqt.com/schedule.jsp?hs=yes" TargetMode="External"/><Relationship Id="rId7" Type="http://schemas.openxmlformats.org/officeDocument/2006/relationships/hyperlink" Target="http://hsquizbowl.org/forums/viewtopic.php?f=1&amp;t=10486" TargetMode="External"/><Relationship Id="rId2" Type="http://schemas.openxmlformats.org/officeDocument/2006/relationships/hyperlink" Target="http://naqt.com/stats/tournament-teams.jsp?tournament_id=3525" TargetMode="External"/><Relationship Id="rId16" Type="http://schemas.openxmlformats.org/officeDocument/2006/relationships/hyperlink" Target="http://hsquizbowl.org/forums/viewtopic.php?f=1&amp;t=10490" TargetMode="External"/><Relationship Id="rId20" Type="http://schemas.openxmlformats.org/officeDocument/2006/relationships/hyperlink" Target="http://hsquizbowl.org/forums/viewtopic.php?f=1&amp;t=10167" TargetMode="External"/><Relationship Id="rId29" Type="http://schemas.openxmlformats.org/officeDocument/2006/relationships/hyperlink" Target="http://texasquizbowl.org/" TargetMode="External"/><Relationship Id="rId41" Type="http://schemas.openxmlformats.org/officeDocument/2006/relationships/hyperlink" Target="http://naqt.com/schedule.jsp?hs=yes" TargetMode="External"/><Relationship Id="rId54" Type="http://schemas.openxmlformats.org/officeDocument/2006/relationships/hyperlink" Target="http://naqt.com/schedule.jsp?hs=yes" TargetMode="External"/><Relationship Id="rId62" Type="http://schemas.openxmlformats.org/officeDocument/2006/relationships/printerSettings" Target="../printerSettings/printerSettings2.bin"/><Relationship Id="rId1" Type="http://schemas.openxmlformats.org/officeDocument/2006/relationships/hyperlink" Target="http://naqt.com/stats/tournament-teams.jsp?tournament_id=3448" TargetMode="External"/><Relationship Id="rId6" Type="http://schemas.openxmlformats.org/officeDocument/2006/relationships/hyperlink" Target="http://naqt.com/schedule.jsp?hs=yes" TargetMode="External"/><Relationship Id="rId11" Type="http://schemas.openxmlformats.org/officeDocument/2006/relationships/hyperlink" Target="http://hsquizbowl.org/forums/viewtopic.php?f=1&amp;t=10523" TargetMode="External"/><Relationship Id="rId24" Type="http://schemas.openxmlformats.org/officeDocument/2006/relationships/hyperlink" Target="http://hsquizbowl.org/forums/viewtopic.php?f=1&amp;t=9961" TargetMode="External"/><Relationship Id="rId32" Type="http://schemas.openxmlformats.org/officeDocument/2006/relationships/hyperlink" Target="http://naqt.com/schedule.jsp?hs=yes" TargetMode="External"/><Relationship Id="rId37" Type="http://schemas.openxmlformats.org/officeDocument/2006/relationships/hyperlink" Target="http://naqt.com/schedule.jsp?hs=yes" TargetMode="External"/><Relationship Id="rId40" Type="http://schemas.openxmlformats.org/officeDocument/2006/relationships/hyperlink" Target="http://naqt.com/schedule.jsp?hs=yes" TargetMode="External"/><Relationship Id="rId45" Type="http://schemas.openxmlformats.org/officeDocument/2006/relationships/hyperlink" Target="http://naqt.com/schedule.jsp?hs=yes" TargetMode="External"/><Relationship Id="rId53" Type="http://schemas.openxmlformats.org/officeDocument/2006/relationships/hyperlink" Target="http://naqt.com/schedule.jsp?hs=yes" TargetMode="External"/><Relationship Id="rId58" Type="http://schemas.openxmlformats.org/officeDocument/2006/relationships/hyperlink" Target="http://naqt.com/schedule.jsp?hs=yes" TargetMode="External"/><Relationship Id="rId5" Type="http://schemas.openxmlformats.org/officeDocument/2006/relationships/hyperlink" Target="http://naqt.com/schedule.jsp?hs=yes" TargetMode="External"/><Relationship Id="rId15" Type="http://schemas.openxmlformats.org/officeDocument/2006/relationships/hyperlink" Target="http://hsquizbowl.org/forums/viewtopic.php?f=1&amp;t=10416" TargetMode="External"/><Relationship Id="rId23" Type="http://schemas.openxmlformats.org/officeDocument/2006/relationships/hyperlink" Target="http://hsquizbowl.org/forums/viewtopic.php?f=1&amp;t=10003" TargetMode="External"/><Relationship Id="rId28" Type="http://schemas.openxmlformats.org/officeDocument/2006/relationships/hyperlink" Target="http://texasquizbowl.org/" TargetMode="External"/><Relationship Id="rId36" Type="http://schemas.openxmlformats.org/officeDocument/2006/relationships/hyperlink" Target="http://naqt.com/schedule.jsp?hs=yes" TargetMode="External"/><Relationship Id="rId49" Type="http://schemas.openxmlformats.org/officeDocument/2006/relationships/hyperlink" Target="http://sites.google.com/site/rotaryquizbowl/" TargetMode="External"/><Relationship Id="rId57" Type="http://schemas.openxmlformats.org/officeDocument/2006/relationships/hyperlink" Target="http://naqt.com/schedule.jsp?hs=yes" TargetMode="External"/><Relationship Id="rId61" Type="http://schemas.openxmlformats.org/officeDocument/2006/relationships/hyperlink" Target="http://www.createphpbb.com/phpbb/viewtopic.php?t=838&amp;mforum=oac" TargetMode="External"/><Relationship Id="rId10" Type="http://schemas.openxmlformats.org/officeDocument/2006/relationships/hyperlink" Target="http://naqt.com/schedule.jsp?hs=yes" TargetMode="External"/><Relationship Id="rId19" Type="http://schemas.openxmlformats.org/officeDocument/2006/relationships/hyperlink" Target="http://hsquizbowl.org/forums/viewtopic.php?f=1&amp;t=10479" TargetMode="External"/><Relationship Id="rId31" Type="http://schemas.openxmlformats.org/officeDocument/2006/relationships/hyperlink" Target="http://naqt.com/schedule.jsp?hs=yes" TargetMode="External"/><Relationship Id="rId44" Type="http://schemas.openxmlformats.org/officeDocument/2006/relationships/hyperlink" Target="http://naqt.com/schedule.jsp?hs=yes" TargetMode="External"/><Relationship Id="rId52" Type="http://schemas.openxmlformats.org/officeDocument/2006/relationships/hyperlink" Target="http://naqt.com/schedule.jsp?hs=yes" TargetMode="External"/><Relationship Id="rId60" Type="http://schemas.openxmlformats.org/officeDocument/2006/relationships/hyperlink" Target="http://naqt.com/schedule.jsp?hs=yes" TargetMode="External"/><Relationship Id="rId4" Type="http://schemas.openxmlformats.org/officeDocument/2006/relationships/hyperlink" Target="http://hsquizbowl.org/forums/viewtopic.php?f=1&amp;t=10305" TargetMode="External"/><Relationship Id="rId9" Type="http://schemas.openxmlformats.org/officeDocument/2006/relationships/hyperlink" Target="http://naqt.com/schedule.jsp?hs=yes" TargetMode="External"/><Relationship Id="rId14" Type="http://schemas.openxmlformats.org/officeDocument/2006/relationships/hyperlink" Target="http://hsquizbowl.org/forums/viewtopic.php?f=1&amp;t=9940" TargetMode="External"/><Relationship Id="rId22" Type="http://schemas.openxmlformats.org/officeDocument/2006/relationships/hyperlink" Target="http://hsquizbowl.org/forums/viewtopic.php?f=1&amp;t=9955" TargetMode="External"/><Relationship Id="rId27" Type="http://schemas.openxmlformats.org/officeDocument/2006/relationships/hyperlink" Target="http://hsquizbowl.org/forums/viewtopic.php?f=1&amp;t=10581" TargetMode="External"/><Relationship Id="rId30" Type="http://schemas.openxmlformats.org/officeDocument/2006/relationships/hyperlink" Target="http://naqt.com/schedule.jsp?hs=yes" TargetMode="External"/><Relationship Id="rId35" Type="http://schemas.openxmlformats.org/officeDocument/2006/relationships/hyperlink" Target="http://naqt.com/schedule.jsp?hs=yes" TargetMode="External"/><Relationship Id="rId43" Type="http://schemas.openxmlformats.org/officeDocument/2006/relationships/hyperlink" Target="http://naqt.com/schedule.jsp?hs=yes" TargetMode="External"/><Relationship Id="rId48" Type="http://schemas.openxmlformats.org/officeDocument/2006/relationships/hyperlink" Target="http://naqt.com/schedule.jsp?hs=yes" TargetMode="External"/><Relationship Id="rId56" Type="http://schemas.openxmlformats.org/officeDocument/2006/relationships/hyperlink" Target="http://naqt.com/schedule.jsp?hs=yes" TargetMode="External"/><Relationship Id="rId8" Type="http://schemas.openxmlformats.org/officeDocument/2006/relationships/hyperlink" Target="http://hsquizbowl.org/forums/viewtopic.php?f=1&amp;t=10503" TargetMode="External"/><Relationship Id="rId51" Type="http://schemas.openxmlformats.org/officeDocument/2006/relationships/hyperlink" Target="http://naqt.com/schedule.jsp?hs=yes" TargetMode="External"/><Relationship Id="rId3" Type="http://schemas.openxmlformats.org/officeDocument/2006/relationships/hyperlink" Target="http://hsquizbowl.org/forums/viewtopic.php?f=1&amp;t=9929" TargetMode="External"/><Relationship Id="rId12" Type="http://schemas.openxmlformats.org/officeDocument/2006/relationships/hyperlink" Target="http://hsquizbowl.org/forums/viewtopic.php?f=1&amp;t=10358" TargetMode="External"/><Relationship Id="rId17" Type="http://schemas.openxmlformats.org/officeDocument/2006/relationships/hyperlink" Target="http://hsquizbowl.org/forums/viewtopic.php?f=1&amp;t=10130" TargetMode="External"/><Relationship Id="rId25" Type="http://schemas.openxmlformats.org/officeDocument/2006/relationships/hyperlink" Target="http://hsquizbowl.org/forums/viewtopic.php?f=1&amp;t=10608" TargetMode="External"/><Relationship Id="rId33" Type="http://schemas.openxmlformats.org/officeDocument/2006/relationships/hyperlink" Target="http://naqt.com/schedule.jsp?hs=yes" TargetMode="External"/><Relationship Id="rId38" Type="http://schemas.openxmlformats.org/officeDocument/2006/relationships/hyperlink" Target="http://naqt.com/schedule.jsp?hs=yes" TargetMode="External"/><Relationship Id="rId46" Type="http://schemas.openxmlformats.org/officeDocument/2006/relationships/hyperlink" Target="http://naqt.com/schedule.jsp?hs=yes" TargetMode="External"/><Relationship Id="rId59" Type="http://schemas.openxmlformats.org/officeDocument/2006/relationships/hyperlink" Target="http://naqt.com/schedule.jsp?hs=yes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hsquizbowl.org/forums/viewtopic.php?f=1&amp;t=10160" TargetMode="External"/><Relationship Id="rId18" Type="http://schemas.openxmlformats.org/officeDocument/2006/relationships/hyperlink" Target="http://naqt.com/schedule.jsp?hs=yes" TargetMode="External"/><Relationship Id="rId26" Type="http://schemas.openxmlformats.org/officeDocument/2006/relationships/hyperlink" Target="http://hsquizbowl.org/forums/viewtopic.php?f=1&amp;t=10624" TargetMode="External"/><Relationship Id="rId39" Type="http://schemas.openxmlformats.org/officeDocument/2006/relationships/hyperlink" Target="http://www.ihssbca.org/statistics/2010_Loyburn_November/2010_Loyburn_overall_standings.php" TargetMode="External"/><Relationship Id="rId21" Type="http://schemas.openxmlformats.org/officeDocument/2006/relationships/hyperlink" Target="http://hsquizbowl.org/forums/viewtopic.php?f=1&amp;t=9950" TargetMode="External"/><Relationship Id="rId34" Type="http://schemas.openxmlformats.org/officeDocument/2006/relationships/hyperlink" Target="http://hsquizbowl.org/forums/viewtopic.php?f=1&amp;t=10492" TargetMode="External"/><Relationship Id="rId42" Type="http://schemas.openxmlformats.org/officeDocument/2006/relationships/hyperlink" Target="http://hsquizbowl.org/forums/viewtopic.php?f=1&amp;t=10456" TargetMode="External"/><Relationship Id="rId47" Type="http://schemas.openxmlformats.org/officeDocument/2006/relationships/hyperlink" Target="http://hsquizbowl.org/forums/viewtopic.php?f=1&amp;t=10040" TargetMode="External"/><Relationship Id="rId50" Type="http://schemas.openxmlformats.org/officeDocument/2006/relationships/hyperlink" Target="http://naqt.com/schedule.jsp?hs=yes" TargetMode="External"/><Relationship Id="rId55" Type="http://schemas.openxmlformats.org/officeDocument/2006/relationships/hyperlink" Target="http://hsquizbowl.org/forums/viewtopic.php?f=1&amp;t=9870" TargetMode="External"/><Relationship Id="rId63" Type="http://schemas.openxmlformats.org/officeDocument/2006/relationships/hyperlink" Target="http://hsquizbowl.org/forums/viewtopic.php?f=1&amp;t=10612" TargetMode="External"/><Relationship Id="rId7" Type="http://schemas.openxmlformats.org/officeDocument/2006/relationships/hyperlink" Target="http://www.createphpbb.com/phpbb/viewtopic.php?t=881&amp;mforum=oac" TargetMode="External"/><Relationship Id="rId2" Type="http://schemas.openxmlformats.org/officeDocument/2006/relationships/hyperlink" Target="http://hsquizbowl.org/forums/viewtopic.php?f=1&amp;t=10057" TargetMode="External"/><Relationship Id="rId16" Type="http://schemas.openxmlformats.org/officeDocument/2006/relationships/hyperlink" Target="http://naqt.com/schedule.jsp?hs=yes" TargetMode="External"/><Relationship Id="rId29" Type="http://schemas.openxmlformats.org/officeDocument/2006/relationships/hyperlink" Target="http://hsquizbowl.org/forums/viewtopic.php?f=1&amp;t=10210" TargetMode="External"/><Relationship Id="rId1" Type="http://schemas.openxmlformats.org/officeDocument/2006/relationships/hyperlink" Target="http://hsquizbowl.org/forums/viewtopic.php?f=1&amp;t=10004" TargetMode="External"/><Relationship Id="rId6" Type="http://schemas.openxmlformats.org/officeDocument/2006/relationships/hyperlink" Target="http://hsquizbowl.org/forums/viewtopic.php?f=1&amp;t=10468" TargetMode="External"/><Relationship Id="rId11" Type="http://schemas.openxmlformats.org/officeDocument/2006/relationships/hyperlink" Target="http://www.createphpbb.com/oac/viewtopic.php?mforum=oac&amp;p=10716" TargetMode="External"/><Relationship Id="rId24" Type="http://schemas.openxmlformats.org/officeDocument/2006/relationships/hyperlink" Target="http://www.createphpbb.com/phpbb/viewtopic.php?t=890&amp;mforum=oac" TargetMode="External"/><Relationship Id="rId32" Type="http://schemas.openxmlformats.org/officeDocument/2006/relationships/hyperlink" Target="http://naqt.com/mqba/social/2010" TargetMode="External"/><Relationship Id="rId37" Type="http://schemas.openxmlformats.org/officeDocument/2006/relationships/hyperlink" Target="http://quizbowl.caltech.edu/results/2010ACF_fall/acffall_standings.html" TargetMode="External"/><Relationship Id="rId40" Type="http://schemas.openxmlformats.org/officeDocument/2006/relationships/hyperlink" Target="http://hsquizbowl.org/forums/viewtopic.php?f=1&amp;t=10663" TargetMode="External"/><Relationship Id="rId45" Type="http://schemas.openxmlformats.org/officeDocument/2006/relationships/hyperlink" Target="http://hsquizbowl.org/forums/viewtopic.php?f=1&amp;t=10153" TargetMode="External"/><Relationship Id="rId53" Type="http://schemas.openxmlformats.org/officeDocument/2006/relationships/hyperlink" Target="http://www.texasquizbowl.org/d/10spartan2/Varsity_standings.html" TargetMode="External"/><Relationship Id="rId58" Type="http://schemas.openxmlformats.org/officeDocument/2006/relationships/hyperlink" Target="http://naqt.com/schedule.jsp?hs=yes" TargetMode="External"/><Relationship Id="rId66" Type="http://schemas.openxmlformats.org/officeDocument/2006/relationships/hyperlink" Target="http://hsquizbowl.org/forums/viewtopic.php?f=1&amp;t=10129" TargetMode="External"/><Relationship Id="rId5" Type="http://schemas.openxmlformats.org/officeDocument/2006/relationships/hyperlink" Target="http://hsquizbowl.org/forums/viewtopic.php?f=1&amp;t=10071" TargetMode="External"/><Relationship Id="rId15" Type="http://schemas.openxmlformats.org/officeDocument/2006/relationships/hyperlink" Target="http://hsquizbowl.org/forums/viewtopic.php?f=1&amp;t=10131" TargetMode="External"/><Relationship Id="rId23" Type="http://schemas.openxmlformats.org/officeDocument/2006/relationships/hyperlink" Target="http://naqt.com/schedule.jsp?hs=yes" TargetMode="External"/><Relationship Id="rId28" Type="http://schemas.openxmlformats.org/officeDocument/2006/relationships/hyperlink" Target="http://hsquizbowl.org/forums/viewtopic.php?f=1&amp;t=10378" TargetMode="External"/><Relationship Id="rId36" Type="http://schemas.openxmlformats.org/officeDocument/2006/relationships/hyperlink" Target="http://hsquizbowl.org/forums/viewtopic.php?f=1&amp;t=10472" TargetMode="External"/><Relationship Id="rId49" Type="http://schemas.openxmlformats.org/officeDocument/2006/relationships/hyperlink" Target="http://quizbowl.stanford.edu/tournaments/2010_cardinal_junior_classic/" TargetMode="External"/><Relationship Id="rId57" Type="http://schemas.openxmlformats.org/officeDocument/2006/relationships/hyperlink" Target="http://naqt.com/schedule.jsp?hs=yes" TargetMode="External"/><Relationship Id="rId61" Type="http://schemas.openxmlformats.org/officeDocument/2006/relationships/hyperlink" Target="http://moquizbowl.com/viewtopic.php?f=2&amp;t=2175" TargetMode="External"/><Relationship Id="rId10" Type="http://schemas.openxmlformats.org/officeDocument/2006/relationships/hyperlink" Target="http://hsquizbowl.org/forums/viewtopic.php?f=1&amp;t=9876" TargetMode="External"/><Relationship Id="rId19" Type="http://schemas.openxmlformats.org/officeDocument/2006/relationships/hyperlink" Target="http://naqt.com/schedule.jsp?hs=yes" TargetMode="External"/><Relationship Id="rId31" Type="http://schemas.openxmlformats.org/officeDocument/2006/relationships/hyperlink" Target="http://hsquizbowl.org/forums/viewtopic.php?f=1&amp;t=10441" TargetMode="External"/><Relationship Id="rId44" Type="http://schemas.openxmlformats.org/officeDocument/2006/relationships/hyperlink" Target="http://hsquizbowl.org/forums/viewtopic.php?f=1&amp;t=10555" TargetMode="External"/><Relationship Id="rId52" Type="http://schemas.openxmlformats.org/officeDocument/2006/relationships/hyperlink" Target="http://moquizbowl.com/viewtopic.php?f=2&amp;t=2112" TargetMode="External"/><Relationship Id="rId60" Type="http://schemas.openxmlformats.org/officeDocument/2006/relationships/hyperlink" Target="http://texasquizbowl.org/" TargetMode="External"/><Relationship Id="rId65" Type="http://schemas.openxmlformats.org/officeDocument/2006/relationships/hyperlink" Target="http://hsquizbowl.org/forums/viewtopic.php?f=1&amp;t=10622" TargetMode="External"/><Relationship Id="rId4" Type="http://schemas.openxmlformats.org/officeDocument/2006/relationships/hyperlink" Target="http://naqt.com/stats/tournament-teams.jsp?tournament_id=3544" TargetMode="External"/><Relationship Id="rId9" Type="http://schemas.openxmlformats.org/officeDocument/2006/relationships/hyperlink" Target="http://hsquizbowl.org/forums/viewtopic.php?f=1&amp;t=10450" TargetMode="External"/><Relationship Id="rId14" Type="http://schemas.openxmlformats.org/officeDocument/2006/relationships/hyperlink" Target="http://hsquizbowl.org/forums/viewtopic.php?f=1&amp;t=10392" TargetMode="External"/><Relationship Id="rId22" Type="http://schemas.openxmlformats.org/officeDocument/2006/relationships/hyperlink" Target="http://naqt.com/schedule.jsp?hs=yes" TargetMode="External"/><Relationship Id="rId27" Type="http://schemas.openxmlformats.org/officeDocument/2006/relationships/hyperlink" Target="http://hsquizbowl.org/forums/viewtopic.php?f=1&amp;t=10495" TargetMode="External"/><Relationship Id="rId30" Type="http://schemas.openxmlformats.org/officeDocument/2006/relationships/hyperlink" Target="http://hsquizbowl.org/forums/viewtopic.php?f=1&amp;t=10611" TargetMode="External"/><Relationship Id="rId35" Type="http://schemas.openxmlformats.org/officeDocument/2006/relationships/hyperlink" Target="http://student.virginia.edu/~quizbowl/fall10/fall._standings.html" TargetMode="External"/><Relationship Id="rId43" Type="http://schemas.openxmlformats.org/officeDocument/2006/relationships/hyperlink" Target="http://naqt.com/stats/tournament-teams.jsp?tournament_id=3462" TargetMode="External"/><Relationship Id="rId48" Type="http://schemas.openxmlformats.org/officeDocument/2006/relationships/hyperlink" Target="http://quizbowlpackets.com/vcu/falltotal_standings.html" TargetMode="External"/><Relationship Id="rId56" Type="http://schemas.openxmlformats.org/officeDocument/2006/relationships/hyperlink" Target="http://hsquizbowl.org/forums/viewtopic.php?f=1&amp;t=10601" TargetMode="External"/><Relationship Id="rId64" Type="http://schemas.openxmlformats.org/officeDocument/2006/relationships/hyperlink" Target="http://hsquizbowl.org/forums/viewtopic.php?f=1&amp;t=10607" TargetMode="External"/><Relationship Id="rId8" Type="http://schemas.openxmlformats.org/officeDocument/2006/relationships/hyperlink" Target="http://hsquizbowl.org/forums/viewtopic.php?f=1&amp;t=10133" TargetMode="External"/><Relationship Id="rId51" Type="http://schemas.openxmlformats.org/officeDocument/2006/relationships/hyperlink" Target="http://naqt.com/schedule.jsp?hs=yes" TargetMode="External"/><Relationship Id="rId3" Type="http://schemas.openxmlformats.org/officeDocument/2006/relationships/hyperlink" Target="http://naqt.com/stats/tournament-teams.jsp?tournament_id=3377" TargetMode="External"/><Relationship Id="rId12" Type="http://schemas.openxmlformats.org/officeDocument/2006/relationships/hyperlink" Target="http://texasquizbowl.org/" TargetMode="External"/><Relationship Id="rId17" Type="http://schemas.openxmlformats.org/officeDocument/2006/relationships/hyperlink" Target="http://hsquizbowl.org/forums/viewtopic.php?f=1&amp;t=10207" TargetMode="External"/><Relationship Id="rId25" Type="http://schemas.openxmlformats.org/officeDocument/2006/relationships/hyperlink" Target="http://hsquizbowl.org/forums/viewtopic.php?f=1&amp;t=10340" TargetMode="External"/><Relationship Id="rId33" Type="http://schemas.openxmlformats.org/officeDocument/2006/relationships/hyperlink" Target="http://naqt.com/schedule.jsp?hs=yes" TargetMode="External"/><Relationship Id="rId38" Type="http://schemas.openxmlformats.org/officeDocument/2006/relationships/hyperlink" Target="http://math.boisestate.edu/~mcnamara/qb/2010/ACF_Fall/ACF_Fall_2010_standings.html" TargetMode="External"/><Relationship Id="rId46" Type="http://schemas.openxmlformats.org/officeDocument/2006/relationships/hyperlink" Target="http://naqt.com/schedule.jsp?hs=yes" TargetMode="External"/><Relationship Id="rId59" Type="http://schemas.openxmlformats.org/officeDocument/2006/relationships/hyperlink" Target="http://reach.bellhs.net/stats/bokchoi/bokchoi_standings.html" TargetMode="External"/><Relationship Id="rId67" Type="http://schemas.openxmlformats.org/officeDocument/2006/relationships/printerSettings" Target="../printerSettings/printerSettings3.bin"/><Relationship Id="rId20" Type="http://schemas.openxmlformats.org/officeDocument/2006/relationships/hyperlink" Target="http://hsquizbowl.org/forums/viewtopic.php?f=1&amp;t=10443" TargetMode="External"/><Relationship Id="rId41" Type="http://schemas.openxmlformats.org/officeDocument/2006/relationships/hyperlink" Target="http://hsquizbowl.org/forums/viewtopic.php?f=1&amp;t=10407" TargetMode="External"/><Relationship Id="rId54" Type="http://schemas.openxmlformats.org/officeDocument/2006/relationships/hyperlink" Target="http://naqt.com/hosting/2010-north-white-kickoff-invitation.pdf" TargetMode="External"/><Relationship Id="rId62" Type="http://schemas.openxmlformats.org/officeDocument/2006/relationships/hyperlink" Target="http://hsquizbowl.org/forums/viewtopic.php?f=1&amp;t=9893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7"/>
  <sheetViews>
    <sheetView workbookViewId="0">
      <pane ySplit="615" topLeftCell="A518" activePane="bottomLeft"/>
      <selection activeCell="A51" sqref="A51"/>
      <selection pane="bottomLeft" activeCell="A532" sqref="A532:F532"/>
    </sheetView>
  </sheetViews>
  <sheetFormatPr defaultRowHeight="15"/>
  <cols>
    <col min="1" max="1" width="32" customWidth="1"/>
    <col min="2" max="2" width="23" bestFit="1" customWidth="1"/>
    <col min="3" max="3" width="11.28515625" bestFit="1" customWidth="1"/>
    <col min="4" max="5" width="6" bestFit="1" customWidth="1"/>
    <col min="6" max="6" width="5.5703125" style="10" bestFit="1" customWidth="1"/>
  </cols>
  <sheetData>
    <row r="1" spans="1:6">
      <c r="A1" s="5" t="s">
        <v>35</v>
      </c>
      <c r="B1" s="5" t="s">
        <v>36</v>
      </c>
      <c r="C1" s="5" t="s">
        <v>37</v>
      </c>
      <c r="D1" s="5" t="s">
        <v>38</v>
      </c>
      <c r="E1" s="5" t="s">
        <v>39</v>
      </c>
      <c r="F1" s="9" t="s">
        <v>40</v>
      </c>
    </row>
    <row r="2" spans="1:6">
      <c r="A2" s="2" t="s">
        <v>1031</v>
      </c>
      <c r="B2" s="2" t="s">
        <v>1029</v>
      </c>
      <c r="C2" s="2" t="s">
        <v>152</v>
      </c>
      <c r="D2" s="2">
        <v>357</v>
      </c>
      <c r="E2" s="2">
        <v>21.26</v>
      </c>
      <c r="F2" s="11">
        <v>3.5</v>
      </c>
    </row>
    <row r="3" spans="1:6">
      <c r="A3" t="s">
        <v>178</v>
      </c>
      <c r="B3" t="s">
        <v>167</v>
      </c>
      <c r="C3" t="s">
        <v>82</v>
      </c>
      <c r="D3">
        <v>499.1</v>
      </c>
      <c r="E3">
        <v>24.28</v>
      </c>
      <c r="F3" s="10">
        <v>8</v>
      </c>
    </row>
    <row r="4" spans="1:6">
      <c r="A4" s="5" t="s">
        <v>334</v>
      </c>
      <c r="B4" t="s">
        <v>510</v>
      </c>
      <c r="C4" s="2" t="s">
        <v>152</v>
      </c>
      <c r="D4" s="2">
        <v>578.29999999999995</v>
      </c>
      <c r="E4" t="s">
        <v>78</v>
      </c>
      <c r="F4" s="10">
        <f>79/9</f>
        <v>8.7777777777777786</v>
      </c>
    </row>
    <row r="5" spans="1:6">
      <c r="A5" t="s">
        <v>334</v>
      </c>
      <c r="B5" t="s">
        <v>324</v>
      </c>
      <c r="C5" t="s">
        <v>74</v>
      </c>
      <c r="D5">
        <v>479.5</v>
      </c>
      <c r="E5">
        <v>24.11</v>
      </c>
      <c r="F5" s="10">
        <v>10.199999999999999</v>
      </c>
    </row>
    <row r="6" spans="1:6">
      <c r="A6" t="s">
        <v>334</v>
      </c>
      <c r="B6" t="s">
        <v>1055</v>
      </c>
      <c r="C6" t="s">
        <v>337</v>
      </c>
      <c r="D6">
        <v>429.5</v>
      </c>
      <c r="E6">
        <v>25.36</v>
      </c>
      <c r="F6" s="10" t="s">
        <v>78</v>
      </c>
    </row>
    <row r="7" spans="1:6">
      <c r="A7" t="s">
        <v>334</v>
      </c>
      <c r="B7" t="s">
        <v>1074</v>
      </c>
      <c r="C7" t="s">
        <v>1038</v>
      </c>
      <c r="D7">
        <v>439.5</v>
      </c>
      <c r="E7">
        <v>26.77</v>
      </c>
      <c r="F7" s="10" t="s">
        <v>78</v>
      </c>
    </row>
    <row r="8" spans="1:6">
      <c r="A8" t="s">
        <v>331</v>
      </c>
      <c r="B8" t="s">
        <v>324</v>
      </c>
      <c r="C8" t="s">
        <v>74</v>
      </c>
      <c r="D8">
        <v>218</v>
      </c>
      <c r="E8">
        <v>15.3</v>
      </c>
      <c r="F8" s="10">
        <v>2.9</v>
      </c>
    </row>
    <row r="9" spans="1:6">
      <c r="A9" t="s">
        <v>247</v>
      </c>
      <c r="B9" t="s">
        <v>338</v>
      </c>
      <c r="C9" t="s">
        <v>337</v>
      </c>
      <c r="D9">
        <f>((550*6)+(425*4))/10</f>
        <v>500</v>
      </c>
      <c r="E9">
        <f>((2300+1170)/(100+53))</f>
        <v>22.679738562091504</v>
      </c>
      <c r="F9" s="10" t="s">
        <v>78</v>
      </c>
    </row>
    <row r="10" spans="1:6">
      <c r="A10" t="s">
        <v>247</v>
      </c>
      <c r="B10" t="s">
        <v>244</v>
      </c>
      <c r="C10" t="s">
        <v>47</v>
      </c>
      <c r="D10">
        <v>431</v>
      </c>
      <c r="E10" t="s">
        <v>78</v>
      </c>
      <c r="F10" s="10" t="s">
        <v>78</v>
      </c>
    </row>
    <row r="11" spans="1:6">
      <c r="A11" t="s">
        <v>247</v>
      </c>
      <c r="B11" t="s">
        <v>1053</v>
      </c>
      <c r="C11" t="s">
        <v>412</v>
      </c>
      <c r="D11">
        <v>478.2</v>
      </c>
      <c r="E11">
        <v>23.72</v>
      </c>
      <c r="F11" s="10" t="s">
        <v>78</v>
      </c>
    </row>
    <row r="12" spans="1:6">
      <c r="A12" t="s">
        <v>369</v>
      </c>
      <c r="B12" t="s">
        <v>368</v>
      </c>
      <c r="C12" t="s">
        <v>152</v>
      </c>
      <c r="D12">
        <v>290.8</v>
      </c>
      <c r="E12">
        <v>14.68</v>
      </c>
      <c r="F12" s="10">
        <f>23/12</f>
        <v>1.9166666666666667</v>
      </c>
    </row>
    <row r="13" spans="1:6">
      <c r="A13" t="s">
        <v>102</v>
      </c>
      <c r="B13" t="s">
        <v>97</v>
      </c>
      <c r="C13" t="s">
        <v>41</v>
      </c>
      <c r="D13">
        <v>298.89</v>
      </c>
      <c r="E13">
        <v>18.72</v>
      </c>
      <c r="F13" s="10">
        <f>13/9</f>
        <v>1.4444444444444444</v>
      </c>
    </row>
    <row r="14" spans="1:6">
      <c r="A14" s="2" t="s">
        <v>680</v>
      </c>
      <c r="B14" s="2" t="s">
        <v>417</v>
      </c>
      <c r="C14" s="2" t="s">
        <v>152</v>
      </c>
      <c r="D14" s="2">
        <v>405.8</v>
      </c>
      <c r="E14" s="2">
        <v>21.66</v>
      </c>
      <c r="F14" s="11">
        <f>44/13</f>
        <v>3.3846153846153846</v>
      </c>
    </row>
    <row r="15" spans="1:6">
      <c r="A15" s="2" t="s">
        <v>683</v>
      </c>
      <c r="B15" s="2" t="s">
        <v>417</v>
      </c>
      <c r="C15" s="2" t="s">
        <v>152</v>
      </c>
      <c r="D15" s="2">
        <v>231.5</v>
      </c>
      <c r="E15" s="2">
        <v>15.86</v>
      </c>
      <c r="F15" s="11">
        <f>14/13</f>
        <v>1.0769230769230769</v>
      </c>
    </row>
    <row r="16" spans="1:6">
      <c r="A16" t="s">
        <v>340</v>
      </c>
      <c r="B16" t="s">
        <v>338</v>
      </c>
      <c r="C16" t="s">
        <v>337</v>
      </c>
      <c r="D16">
        <f>((225*6)+(125*2))/8</f>
        <v>200</v>
      </c>
      <c r="E16">
        <f>((740+140)/(61+11))</f>
        <v>12.222222222222221</v>
      </c>
      <c r="F16" s="10" t="s">
        <v>78</v>
      </c>
    </row>
    <row r="17" spans="1:6">
      <c r="A17" s="5" t="s">
        <v>326</v>
      </c>
      <c r="B17" t="s">
        <v>510</v>
      </c>
      <c r="C17" s="2" t="s">
        <v>152</v>
      </c>
      <c r="D17" s="2">
        <v>499.4</v>
      </c>
      <c r="E17" t="s">
        <v>78</v>
      </c>
      <c r="F17" s="11">
        <v>7</v>
      </c>
    </row>
    <row r="18" spans="1:6">
      <c r="A18" t="s">
        <v>326</v>
      </c>
      <c r="B18" t="s">
        <v>324</v>
      </c>
      <c r="C18" t="s">
        <v>74</v>
      </c>
      <c r="D18">
        <v>466</v>
      </c>
      <c r="E18">
        <v>25.2</v>
      </c>
      <c r="F18" s="10">
        <v>8.9</v>
      </c>
    </row>
    <row r="19" spans="1:6">
      <c r="A19" t="s">
        <v>326</v>
      </c>
      <c r="B19" t="s">
        <v>1055</v>
      </c>
      <c r="C19" t="s">
        <v>337</v>
      </c>
      <c r="D19">
        <v>477.3</v>
      </c>
      <c r="E19">
        <v>24.58</v>
      </c>
      <c r="F19" s="10" t="s">
        <v>78</v>
      </c>
    </row>
    <row r="20" spans="1:6">
      <c r="A20" t="s">
        <v>326</v>
      </c>
      <c r="B20" t="s">
        <v>1074</v>
      </c>
      <c r="C20" t="s">
        <v>1038</v>
      </c>
      <c r="D20">
        <v>400.9</v>
      </c>
      <c r="E20">
        <v>23.46</v>
      </c>
      <c r="F20" s="10" t="s">
        <v>78</v>
      </c>
    </row>
    <row r="21" spans="1:6">
      <c r="A21" s="5" t="s">
        <v>325</v>
      </c>
      <c r="B21" t="s">
        <v>510</v>
      </c>
      <c r="C21" s="2" t="s">
        <v>152</v>
      </c>
      <c r="D21" s="2">
        <v>246.9</v>
      </c>
      <c r="E21" t="s">
        <v>78</v>
      </c>
      <c r="F21" s="10">
        <f>13/8</f>
        <v>1.625</v>
      </c>
    </row>
    <row r="22" spans="1:6">
      <c r="A22" t="s">
        <v>325</v>
      </c>
      <c r="B22" t="s">
        <v>324</v>
      </c>
      <c r="C22" t="s">
        <v>74</v>
      </c>
      <c r="D22">
        <v>382</v>
      </c>
      <c r="E22">
        <v>20.170000000000002</v>
      </c>
      <c r="F22" s="10">
        <v>6.1</v>
      </c>
    </row>
    <row r="23" spans="1:6">
      <c r="A23" t="s">
        <v>325</v>
      </c>
      <c r="B23" t="s">
        <v>1074</v>
      </c>
      <c r="C23" t="s">
        <v>1038</v>
      </c>
      <c r="D23">
        <v>216.1</v>
      </c>
      <c r="E23">
        <v>16.53</v>
      </c>
      <c r="F23" s="10" t="s">
        <v>78</v>
      </c>
    </row>
    <row r="24" spans="1:6">
      <c r="A24" t="s">
        <v>1054</v>
      </c>
      <c r="B24" t="s">
        <v>1053</v>
      </c>
      <c r="C24" t="s">
        <v>412</v>
      </c>
      <c r="D24">
        <v>298.8</v>
      </c>
      <c r="E24">
        <v>14.39</v>
      </c>
      <c r="F24" s="10" t="s">
        <v>78</v>
      </c>
    </row>
    <row r="25" spans="1:6">
      <c r="A25" t="s">
        <v>146</v>
      </c>
      <c r="B25" t="s">
        <v>84</v>
      </c>
      <c r="C25" t="s">
        <v>74</v>
      </c>
      <c r="D25">
        <v>268.3</v>
      </c>
      <c r="E25">
        <v>16.32</v>
      </c>
      <c r="F25" s="10">
        <v>3</v>
      </c>
    </row>
    <row r="26" spans="1:6">
      <c r="A26" t="s">
        <v>177</v>
      </c>
      <c r="B26" t="s">
        <v>175</v>
      </c>
      <c r="C26" t="s">
        <v>176</v>
      </c>
      <c r="D26">
        <v>491.7</v>
      </c>
      <c r="E26">
        <v>20</v>
      </c>
      <c r="F26" s="10">
        <v>3</v>
      </c>
    </row>
    <row r="27" spans="1:6">
      <c r="A27" t="s">
        <v>116</v>
      </c>
      <c r="B27" t="s">
        <v>113</v>
      </c>
      <c r="C27" t="s">
        <v>77</v>
      </c>
      <c r="D27">
        <v>362.1</v>
      </c>
      <c r="E27">
        <v>20.239999999999998</v>
      </c>
      <c r="F27" s="10" t="s">
        <v>78</v>
      </c>
    </row>
    <row r="28" spans="1:6">
      <c r="A28" t="s">
        <v>306</v>
      </c>
      <c r="B28" t="s">
        <v>302</v>
      </c>
      <c r="C28" t="s">
        <v>176</v>
      </c>
      <c r="D28">
        <v>256.39999999999998</v>
      </c>
      <c r="E28">
        <v>17.23</v>
      </c>
      <c r="F28" s="10">
        <f>11/7</f>
        <v>1.5714285714285714</v>
      </c>
    </row>
    <row r="29" spans="1:6">
      <c r="A29" t="s">
        <v>399</v>
      </c>
      <c r="B29" t="s">
        <v>397</v>
      </c>
      <c r="C29" t="s">
        <v>47</v>
      </c>
      <c r="D29">
        <v>280</v>
      </c>
      <c r="E29">
        <v>17.850000000000001</v>
      </c>
      <c r="F29" s="10">
        <v>2.8</v>
      </c>
    </row>
    <row r="30" spans="1:6">
      <c r="A30" s="2" t="s">
        <v>123</v>
      </c>
      <c r="B30" t="s">
        <v>120</v>
      </c>
      <c r="C30" t="s">
        <v>41</v>
      </c>
      <c r="D30">
        <v>303.60000000000002</v>
      </c>
      <c r="E30">
        <v>18.07</v>
      </c>
      <c r="F30" s="10">
        <f>21/8</f>
        <v>2.625</v>
      </c>
    </row>
    <row r="31" spans="1:6">
      <c r="A31" s="2" t="s">
        <v>532</v>
      </c>
      <c r="B31" s="2" t="s">
        <v>1025</v>
      </c>
      <c r="C31" s="2" t="s">
        <v>152</v>
      </c>
      <c r="D31" s="2">
        <v>287.5</v>
      </c>
      <c r="E31" s="2">
        <v>17.95</v>
      </c>
      <c r="F31" s="11">
        <f>15/8</f>
        <v>1.875</v>
      </c>
    </row>
    <row r="32" spans="1:6">
      <c r="A32" s="2" t="s">
        <v>532</v>
      </c>
      <c r="B32" s="2" t="s">
        <v>530</v>
      </c>
      <c r="C32" s="2" t="s">
        <v>176</v>
      </c>
      <c r="D32" s="2">
        <v>431.1</v>
      </c>
      <c r="E32" s="2">
        <v>20.89</v>
      </c>
      <c r="F32" s="11">
        <f>35/9</f>
        <v>3.8888888888888888</v>
      </c>
    </row>
    <row r="33" spans="1:6">
      <c r="A33" s="2" t="s">
        <v>533</v>
      </c>
      <c r="B33" s="2" t="s">
        <v>530</v>
      </c>
      <c r="C33" s="2" t="s">
        <v>176</v>
      </c>
      <c r="D33" s="2">
        <v>334.4</v>
      </c>
      <c r="E33" s="2">
        <v>17.95</v>
      </c>
      <c r="F33" s="11">
        <f>21/8</f>
        <v>2.625</v>
      </c>
    </row>
    <row r="34" spans="1:6">
      <c r="A34" t="s">
        <v>140</v>
      </c>
      <c r="B34" t="s">
        <v>124</v>
      </c>
      <c r="C34" t="s">
        <v>41</v>
      </c>
      <c r="D34">
        <v>517.20000000000005</v>
      </c>
      <c r="E34">
        <v>25.04</v>
      </c>
      <c r="F34" s="10">
        <f>74/9</f>
        <v>8.2222222222222214</v>
      </c>
    </row>
    <row r="35" spans="1:6">
      <c r="A35" s="2" t="s">
        <v>140</v>
      </c>
      <c r="B35" s="2" t="s">
        <v>356</v>
      </c>
      <c r="C35" s="2" t="s">
        <v>47</v>
      </c>
      <c r="D35" s="2">
        <v>439</v>
      </c>
      <c r="E35" s="2">
        <v>23.29</v>
      </c>
      <c r="F35" s="11">
        <v>6.5</v>
      </c>
    </row>
    <row r="36" spans="1:6">
      <c r="A36" s="2" t="s">
        <v>278</v>
      </c>
      <c r="B36" s="2" t="s">
        <v>211</v>
      </c>
      <c r="C36" s="2" t="s">
        <v>74</v>
      </c>
      <c r="D36" s="2">
        <v>285.60000000000002</v>
      </c>
      <c r="E36" s="2">
        <v>19.68</v>
      </c>
      <c r="F36" s="11">
        <v>3</v>
      </c>
    </row>
    <row r="37" spans="1:6">
      <c r="A37" s="2" t="s">
        <v>278</v>
      </c>
      <c r="B37" s="2" t="s">
        <v>356</v>
      </c>
      <c r="C37" s="2" t="s">
        <v>47</v>
      </c>
      <c r="D37" s="2">
        <v>321.89999999999998</v>
      </c>
      <c r="E37" s="2">
        <v>20.68</v>
      </c>
      <c r="F37" s="11">
        <f>30/8</f>
        <v>3.75</v>
      </c>
    </row>
    <row r="38" spans="1:6">
      <c r="A38" s="2" t="s">
        <v>291</v>
      </c>
      <c r="B38" s="2" t="s">
        <v>211</v>
      </c>
      <c r="C38" s="2" t="s">
        <v>74</v>
      </c>
      <c r="D38" s="2">
        <v>323.10000000000002</v>
      </c>
      <c r="E38" s="2">
        <v>17.66</v>
      </c>
      <c r="F38" s="11">
        <f>22/8</f>
        <v>2.75</v>
      </c>
    </row>
    <row r="39" spans="1:6">
      <c r="A39" s="2" t="s">
        <v>291</v>
      </c>
      <c r="B39" s="2" t="s">
        <v>356</v>
      </c>
      <c r="C39" s="2" t="s">
        <v>47</v>
      </c>
      <c r="D39" s="2">
        <v>257.5</v>
      </c>
      <c r="E39" s="2">
        <v>20.3</v>
      </c>
      <c r="F39" s="11">
        <f>25/8</f>
        <v>3.125</v>
      </c>
    </row>
    <row r="40" spans="1:6">
      <c r="A40" s="2" t="s">
        <v>359</v>
      </c>
      <c r="B40" s="2" t="s">
        <v>356</v>
      </c>
      <c r="C40" s="2" t="s">
        <v>47</v>
      </c>
      <c r="D40" s="2">
        <v>344.5</v>
      </c>
      <c r="E40" s="2">
        <v>20.97</v>
      </c>
      <c r="F40" s="11">
        <v>4.7</v>
      </c>
    </row>
    <row r="41" spans="1:6">
      <c r="A41" t="s">
        <v>66</v>
      </c>
      <c r="B41" t="s">
        <v>153</v>
      </c>
      <c r="C41" t="s">
        <v>152</v>
      </c>
      <c r="D41">
        <v>295.5</v>
      </c>
      <c r="E41">
        <v>16.91</v>
      </c>
      <c r="F41" s="10">
        <v>2.7</v>
      </c>
    </row>
    <row r="42" spans="1:6">
      <c r="A42" t="s">
        <v>104</v>
      </c>
      <c r="B42" t="s">
        <v>373</v>
      </c>
      <c r="C42" t="s">
        <v>337</v>
      </c>
      <c r="D42">
        <v>194</v>
      </c>
      <c r="E42">
        <v>14.45</v>
      </c>
      <c r="F42" s="10" t="s">
        <v>78</v>
      </c>
    </row>
    <row r="43" spans="1:6">
      <c r="A43" s="2" t="s">
        <v>283</v>
      </c>
      <c r="B43" s="2" t="s">
        <v>215</v>
      </c>
      <c r="C43" s="2" t="s">
        <v>47</v>
      </c>
      <c r="D43" s="2">
        <f>2770/8</f>
        <v>346.25</v>
      </c>
      <c r="E43" s="2">
        <v>21.06</v>
      </c>
      <c r="F43" s="11">
        <f>33/8</f>
        <v>4.125</v>
      </c>
    </row>
    <row r="44" spans="1:6">
      <c r="A44" t="s">
        <v>94</v>
      </c>
      <c r="B44" t="s">
        <v>86</v>
      </c>
      <c r="C44" t="s">
        <v>82</v>
      </c>
      <c r="D44">
        <v>240.8</v>
      </c>
      <c r="E44">
        <v>13.61</v>
      </c>
      <c r="F44" s="10">
        <f>8/6</f>
        <v>1.3333333333333333</v>
      </c>
    </row>
    <row r="45" spans="1:6">
      <c r="A45" t="s">
        <v>300</v>
      </c>
      <c r="B45" t="s">
        <v>219</v>
      </c>
      <c r="C45" t="s">
        <v>176</v>
      </c>
      <c r="D45">
        <v>256.10000000000002</v>
      </c>
      <c r="E45">
        <v>15.54</v>
      </c>
      <c r="F45" s="10">
        <f>6/9</f>
        <v>0.66666666666666663</v>
      </c>
    </row>
    <row r="46" spans="1:6">
      <c r="A46" t="s">
        <v>248</v>
      </c>
      <c r="B46" t="s">
        <v>244</v>
      </c>
      <c r="C46" t="s">
        <v>47</v>
      </c>
      <c r="D46">
        <v>359</v>
      </c>
      <c r="E46" t="s">
        <v>78</v>
      </c>
      <c r="F46" s="10" t="s">
        <v>78</v>
      </c>
    </row>
    <row r="47" spans="1:6">
      <c r="A47" t="s">
        <v>248</v>
      </c>
      <c r="B47" t="s">
        <v>49</v>
      </c>
      <c r="C47" t="s">
        <v>152</v>
      </c>
      <c r="D47">
        <v>374</v>
      </c>
      <c r="E47">
        <v>20.48</v>
      </c>
      <c r="F47" s="10">
        <v>2.4</v>
      </c>
    </row>
    <row r="48" spans="1:6">
      <c r="A48" t="s">
        <v>248</v>
      </c>
      <c r="B48" t="s">
        <v>1053</v>
      </c>
      <c r="C48" t="s">
        <v>412</v>
      </c>
      <c r="D48">
        <v>317.10000000000002</v>
      </c>
      <c r="E48">
        <v>15.23</v>
      </c>
      <c r="F48" s="10" t="s">
        <v>78</v>
      </c>
    </row>
    <row r="49" spans="1:6">
      <c r="A49" t="s">
        <v>344</v>
      </c>
      <c r="B49" t="s">
        <v>338</v>
      </c>
      <c r="C49" t="s">
        <v>337</v>
      </c>
      <c r="D49">
        <f>((383.3*6)+(230*4))/10</f>
        <v>321.98</v>
      </c>
      <c r="E49">
        <f>((1400+570)/(90+35))</f>
        <v>15.76</v>
      </c>
      <c r="F49" s="10" t="s">
        <v>78</v>
      </c>
    </row>
    <row r="50" spans="1:6">
      <c r="A50" t="s">
        <v>343</v>
      </c>
      <c r="B50" t="s">
        <v>338</v>
      </c>
      <c r="C50" t="s">
        <v>337</v>
      </c>
      <c r="D50">
        <f>((141.7*6)+(80*1))/7</f>
        <v>132.88571428571427</v>
      </c>
      <c r="E50">
        <f>((400+40)/(45+4))</f>
        <v>8.9795918367346932</v>
      </c>
      <c r="F50" s="10" t="s">
        <v>78</v>
      </c>
    </row>
    <row r="51" spans="1:6">
      <c r="A51" t="s">
        <v>266</v>
      </c>
      <c r="B51" t="s">
        <v>263</v>
      </c>
      <c r="C51" t="s">
        <v>82</v>
      </c>
      <c r="D51">
        <v>283.89999999999998</v>
      </c>
      <c r="E51">
        <v>14.71</v>
      </c>
      <c r="F51" s="10">
        <f>13/9</f>
        <v>1.4444444444444444</v>
      </c>
    </row>
    <row r="52" spans="1:6">
      <c r="A52" s="5" t="s">
        <v>509</v>
      </c>
      <c r="B52" t="s">
        <v>510</v>
      </c>
      <c r="C52" s="2" t="s">
        <v>152</v>
      </c>
      <c r="D52" s="2">
        <v>248.8</v>
      </c>
      <c r="E52" t="s">
        <v>78</v>
      </c>
      <c r="F52" s="10">
        <v>2</v>
      </c>
    </row>
    <row r="53" spans="1:6">
      <c r="A53" t="s">
        <v>509</v>
      </c>
      <c r="B53" t="s">
        <v>1055</v>
      </c>
      <c r="C53" t="s">
        <v>337</v>
      </c>
      <c r="D53">
        <v>273.89999999999998</v>
      </c>
      <c r="E53">
        <v>15.98</v>
      </c>
      <c r="F53" s="10" t="s">
        <v>78</v>
      </c>
    </row>
    <row r="54" spans="1:6">
      <c r="A54" t="s">
        <v>509</v>
      </c>
      <c r="B54" t="s">
        <v>1074</v>
      </c>
      <c r="C54" t="s">
        <v>1038</v>
      </c>
      <c r="D54">
        <v>276.7</v>
      </c>
      <c r="E54">
        <v>19.2</v>
      </c>
      <c r="F54" s="10" t="s">
        <v>78</v>
      </c>
    </row>
    <row r="55" spans="1:6">
      <c r="A55" t="s">
        <v>271</v>
      </c>
      <c r="B55" t="s">
        <v>267</v>
      </c>
      <c r="C55" t="s">
        <v>74</v>
      </c>
      <c r="D55">
        <v>321.2</v>
      </c>
      <c r="E55">
        <v>16.850000000000001</v>
      </c>
      <c r="F55" s="10">
        <v>3</v>
      </c>
    </row>
    <row r="56" spans="1:6">
      <c r="A56" s="2" t="s">
        <v>271</v>
      </c>
      <c r="B56" s="2" t="s">
        <v>1038</v>
      </c>
      <c r="C56" s="2" t="s">
        <v>1038</v>
      </c>
      <c r="D56" s="2">
        <v>231</v>
      </c>
      <c r="E56" s="2">
        <v>13.94</v>
      </c>
      <c r="F56" s="11" t="s">
        <v>78</v>
      </c>
    </row>
    <row r="57" spans="1:6">
      <c r="A57" t="s">
        <v>271</v>
      </c>
      <c r="B57" t="s">
        <v>407</v>
      </c>
      <c r="C57" t="s">
        <v>382</v>
      </c>
      <c r="D57">
        <v>227.5</v>
      </c>
      <c r="E57">
        <v>15.21</v>
      </c>
      <c r="F57" s="10" t="s">
        <v>78</v>
      </c>
    </row>
    <row r="58" spans="1:6">
      <c r="A58" t="s">
        <v>1073</v>
      </c>
      <c r="B58" t="s">
        <v>441</v>
      </c>
      <c r="C58" t="s">
        <v>1061</v>
      </c>
      <c r="D58">
        <v>213</v>
      </c>
      <c r="E58">
        <v>15.85</v>
      </c>
      <c r="F58" s="10">
        <v>1</v>
      </c>
    </row>
    <row r="59" spans="1:6">
      <c r="A59" t="s">
        <v>183</v>
      </c>
      <c r="B59" t="s">
        <v>515</v>
      </c>
      <c r="C59" s="2" t="s">
        <v>152</v>
      </c>
      <c r="D59" s="2">
        <v>496.4</v>
      </c>
      <c r="E59">
        <v>20.36</v>
      </c>
      <c r="F59" s="10">
        <f>37/8</f>
        <v>4.625</v>
      </c>
    </row>
    <row r="60" spans="1:6">
      <c r="A60" t="s">
        <v>183</v>
      </c>
      <c r="B60" t="s">
        <v>324</v>
      </c>
      <c r="C60" t="s">
        <v>74</v>
      </c>
      <c r="D60">
        <v>392</v>
      </c>
      <c r="E60">
        <v>22.97</v>
      </c>
      <c r="F60" s="10">
        <v>7.4</v>
      </c>
    </row>
    <row r="61" spans="1:6">
      <c r="A61" t="s">
        <v>183</v>
      </c>
      <c r="B61" t="s">
        <v>167</v>
      </c>
      <c r="C61" t="s">
        <v>82</v>
      </c>
      <c r="D61">
        <v>276</v>
      </c>
      <c r="E61">
        <v>21.63</v>
      </c>
      <c r="F61" s="10">
        <v>3.5</v>
      </c>
    </row>
    <row r="62" spans="1:6">
      <c r="A62" t="s">
        <v>183</v>
      </c>
      <c r="B62" t="s">
        <v>1055</v>
      </c>
      <c r="C62" t="s">
        <v>337</v>
      </c>
      <c r="D62">
        <v>298.2</v>
      </c>
      <c r="E62">
        <v>19.07</v>
      </c>
      <c r="F62" s="10" t="s">
        <v>78</v>
      </c>
    </row>
    <row r="63" spans="1:6">
      <c r="A63" t="s">
        <v>183</v>
      </c>
      <c r="B63" t="s">
        <v>1074</v>
      </c>
      <c r="C63" t="s">
        <v>1038</v>
      </c>
      <c r="D63">
        <v>290</v>
      </c>
      <c r="E63">
        <v>19.350000000000001</v>
      </c>
      <c r="F63" s="10" t="s">
        <v>78</v>
      </c>
    </row>
    <row r="64" spans="1:6">
      <c r="A64" s="5" t="s">
        <v>504</v>
      </c>
      <c r="B64" t="s">
        <v>510</v>
      </c>
      <c r="C64" s="2" t="s">
        <v>152</v>
      </c>
      <c r="D64" s="2">
        <v>277.5</v>
      </c>
      <c r="E64" t="s">
        <v>78</v>
      </c>
      <c r="F64" s="10">
        <v>2</v>
      </c>
    </row>
    <row r="65" spans="1:6">
      <c r="A65" t="s">
        <v>354</v>
      </c>
      <c r="B65" t="s">
        <v>353</v>
      </c>
      <c r="C65" t="s">
        <v>337</v>
      </c>
      <c r="D65">
        <f>((197*6)+(150*2))/8</f>
        <v>185.25</v>
      </c>
      <c r="E65">
        <f>((650+190)/(52+12))</f>
        <v>13.125</v>
      </c>
      <c r="F65" s="10">
        <v>1</v>
      </c>
    </row>
    <row r="66" spans="1:6">
      <c r="A66" s="2" t="s">
        <v>109</v>
      </c>
      <c r="B66" s="2" t="s">
        <v>1038</v>
      </c>
      <c r="C66" s="2" t="s">
        <v>1038</v>
      </c>
      <c r="D66" s="2">
        <v>163</v>
      </c>
      <c r="E66" s="2">
        <v>12.74</v>
      </c>
      <c r="F66" s="11" t="s">
        <v>78</v>
      </c>
    </row>
    <row r="67" spans="1:6">
      <c r="A67" t="s">
        <v>109</v>
      </c>
      <c r="B67" t="s">
        <v>106</v>
      </c>
      <c r="C67" t="s">
        <v>74</v>
      </c>
      <c r="D67">
        <v>340</v>
      </c>
      <c r="E67">
        <v>17.05</v>
      </c>
      <c r="F67" s="10" t="s">
        <v>78</v>
      </c>
    </row>
    <row r="68" spans="1:6">
      <c r="A68" t="s">
        <v>245</v>
      </c>
      <c r="B68" t="s">
        <v>244</v>
      </c>
      <c r="C68" t="s">
        <v>47</v>
      </c>
      <c r="D68">
        <v>497</v>
      </c>
      <c r="E68" t="s">
        <v>78</v>
      </c>
      <c r="F68" s="10" t="s">
        <v>78</v>
      </c>
    </row>
    <row r="69" spans="1:6">
      <c r="A69" t="s">
        <v>245</v>
      </c>
      <c r="B69" t="s">
        <v>517</v>
      </c>
      <c r="C69" s="2" t="s">
        <v>152</v>
      </c>
      <c r="D69" s="2">
        <v>317.2</v>
      </c>
      <c r="E69">
        <v>13.57</v>
      </c>
      <c r="F69" s="10">
        <f>28/9</f>
        <v>3.1111111111111112</v>
      </c>
    </row>
    <row r="70" spans="1:6">
      <c r="A70" t="s">
        <v>245</v>
      </c>
      <c r="B70" t="s">
        <v>1053</v>
      </c>
      <c r="C70" t="s">
        <v>412</v>
      </c>
      <c r="D70">
        <v>564.5</v>
      </c>
      <c r="E70">
        <v>23.75</v>
      </c>
      <c r="F70" s="10" t="s">
        <v>78</v>
      </c>
    </row>
    <row r="71" spans="1:6">
      <c r="A71" s="2" t="s">
        <v>280</v>
      </c>
      <c r="B71" s="2" t="s">
        <v>215</v>
      </c>
      <c r="C71" s="2" t="s">
        <v>47</v>
      </c>
      <c r="D71" s="2">
        <v>406</v>
      </c>
      <c r="E71" s="2">
        <v>21.04</v>
      </c>
      <c r="F71" s="11">
        <v>4.9000000000000004</v>
      </c>
    </row>
    <row r="72" spans="1:6">
      <c r="A72" t="s">
        <v>250</v>
      </c>
      <c r="B72" t="s">
        <v>244</v>
      </c>
      <c r="C72" t="s">
        <v>47</v>
      </c>
      <c r="D72">
        <v>331</v>
      </c>
      <c r="E72" t="s">
        <v>78</v>
      </c>
      <c r="F72" s="10" t="s">
        <v>78</v>
      </c>
    </row>
    <row r="73" spans="1:6">
      <c r="A73" t="s">
        <v>250</v>
      </c>
      <c r="B73" t="s">
        <v>1053</v>
      </c>
      <c r="C73" t="s">
        <v>412</v>
      </c>
      <c r="D73">
        <v>313</v>
      </c>
      <c r="E73">
        <v>15.66</v>
      </c>
      <c r="F73" s="10" t="s">
        <v>78</v>
      </c>
    </row>
    <row r="74" spans="1:6">
      <c r="A74" s="2" t="s">
        <v>1042</v>
      </c>
      <c r="B74" s="2" t="s">
        <v>1043</v>
      </c>
      <c r="C74" s="2" t="s">
        <v>176</v>
      </c>
      <c r="D74" s="2">
        <v>457.5</v>
      </c>
      <c r="E74" s="2">
        <v>24.51</v>
      </c>
      <c r="F74" s="11">
        <f>41/8</f>
        <v>5.125</v>
      </c>
    </row>
    <row r="75" spans="1:6">
      <c r="A75" s="2" t="s">
        <v>1042</v>
      </c>
      <c r="B75" s="2" t="s">
        <v>6</v>
      </c>
      <c r="C75" s="2" t="s">
        <v>1051</v>
      </c>
      <c r="D75" s="2">
        <v>316</v>
      </c>
      <c r="E75" s="2" t="s">
        <v>78</v>
      </c>
      <c r="F75" s="11" t="s">
        <v>78</v>
      </c>
    </row>
    <row r="76" spans="1:6">
      <c r="A76" s="2" t="s">
        <v>279</v>
      </c>
      <c r="B76" s="2" t="s">
        <v>1035</v>
      </c>
      <c r="C76" s="2" t="s">
        <v>41</v>
      </c>
      <c r="D76" s="2">
        <v>322.7</v>
      </c>
      <c r="E76" s="2">
        <v>17.649999999999999</v>
      </c>
      <c r="F76" s="11">
        <f>23/11</f>
        <v>2.0909090909090908</v>
      </c>
    </row>
    <row r="77" spans="1:6">
      <c r="A77" s="2" t="s">
        <v>279</v>
      </c>
      <c r="B77" s="2" t="s">
        <v>215</v>
      </c>
      <c r="C77" s="2" t="s">
        <v>47</v>
      </c>
      <c r="D77" s="2">
        <v>412.5</v>
      </c>
      <c r="E77" s="2">
        <v>22.44</v>
      </c>
      <c r="F77" s="11">
        <v>4.5</v>
      </c>
    </row>
    <row r="78" spans="1:6">
      <c r="A78" s="2" t="s">
        <v>1040</v>
      </c>
      <c r="B78" s="2" t="s">
        <v>1038</v>
      </c>
      <c r="C78" s="2" t="s">
        <v>1038</v>
      </c>
      <c r="D78" s="2">
        <v>223.5</v>
      </c>
      <c r="E78" s="2">
        <v>15.11</v>
      </c>
      <c r="F78" s="11" t="s">
        <v>78</v>
      </c>
    </row>
    <row r="79" spans="1:6">
      <c r="A79" s="2" t="s">
        <v>93</v>
      </c>
      <c r="B79" s="2" t="s">
        <v>241</v>
      </c>
      <c r="C79" s="2" t="s">
        <v>176</v>
      </c>
      <c r="D79" s="2">
        <f>((408.8*4)+(337.5*6))/10</f>
        <v>366.02</v>
      </c>
      <c r="E79" s="2">
        <f>2510/111</f>
        <v>22.612612612612612</v>
      </c>
      <c r="F79" s="11">
        <v>3.8</v>
      </c>
    </row>
    <row r="80" spans="1:6">
      <c r="A80" t="s">
        <v>93</v>
      </c>
      <c r="B80" t="s">
        <v>86</v>
      </c>
      <c r="C80" t="s">
        <v>82</v>
      </c>
      <c r="D80">
        <v>301.7</v>
      </c>
      <c r="E80">
        <v>15.63</v>
      </c>
      <c r="F80" s="10">
        <f>16/6</f>
        <v>2.6666666666666665</v>
      </c>
    </row>
    <row r="81" spans="1:6">
      <c r="A81" s="2" t="s">
        <v>92</v>
      </c>
      <c r="B81" s="2" t="s">
        <v>241</v>
      </c>
      <c r="C81" s="2" t="s">
        <v>176</v>
      </c>
      <c r="D81" s="2">
        <f>((427.5*4)+(283.3*6))/10</f>
        <v>340.98</v>
      </c>
      <c r="E81" s="2">
        <f>2280/109</f>
        <v>20.917431192660551</v>
      </c>
      <c r="F81" s="11">
        <v>2.5</v>
      </c>
    </row>
    <row r="82" spans="1:6">
      <c r="A82" t="s">
        <v>92</v>
      </c>
      <c r="B82" t="s">
        <v>86</v>
      </c>
      <c r="C82" t="s">
        <v>82</v>
      </c>
      <c r="D82">
        <v>273.3</v>
      </c>
      <c r="E82">
        <v>17.05</v>
      </c>
      <c r="F82" s="10">
        <f>8/6</f>
        <v>1.3333333333333333</v>
      </c>
    </row>
    <row r="83" spans="1:6">
      <c r="A83" s="2" t="s">
        <v>286</v>
      </c>
      <c r="B83" s="2" t="s">
        <v>1035</v>
      </c>
      <c r="C83" s="2" t="s">
        <v>41</v>
      </c>
      <c r="D83" s="2">
        <v>295.5</v>
      </c>
      <c r="E83" s="2">
        <v>16.829999999999998</v>
      </c>
      <c r="F83" s="11">
        <f>19/11</f>
        <v>1.7272727272727273</v>
      </c>
    </row>
    <row r="84" spans="1:6">
      <c r="A84" s="2" t="s">
        <v>286</v>
      </c>
      <c r="B84" s="2" t="s">
        <v>215</v>
      </c>
      <c r="C84" s="2" t="s">
        <v>47</v>
      </c>
      <c r="D84" s="2">
        <f>1675/7</f>
        <v>239.28571428571428</v>
      </c>
      <c r="E84" s="2">
        <v>20</v>
      </c>
      <c r="F84" s="11">
        <f>19/7</f>
        <v>2.7142857142857144</v>
      </c>
    </row>
    <row r="85" spans="1:6">
      <c r="A85" t="s">
        <v>43</v>
      </c>
      <c r="B85" t="s">
        <v>33</v>
      </c>
      <c r="C85" t="s">
        <v>41</v>
      </c>
      <c r="D85">
        <v>360.6</v>
      </c>
      <c r="E85">
        <v>20.61</v>
      </c>
      <c r="F85" s="10">
        <f>40/8</f>
        <v>5</v>
      </c>
    </row>
    <row r="86" spans="1:6">
      <c r="A86" s="2" t="s">
        <v>43</v>
      </c>
      <c r="B86" s="2" t="s">
        <v>1029</v>
      </c>
      <c r="C86" s="2" t="s">
        <v>152</v>
      </c>
      <c r="D86" s="2">
        <v>389.5</v>
      </c>
      <c r="E86" s="2">
        <v>20</v>
      </c>
      <c r="F86" s="11">
        <v>7</v>
      </c>
    </row>
    <row r="87" spans="1:6">
      <c r="A87" t="s">
        <v>342</v>
      </c>
      <c r="B87" t="s">
        <v>338</v>
      </c>
      <c r="C87" t="s">
        <v>337</v>
      </c>
      <c r="D87">
        <f>((470*6)+(392.5*4))/10</f>
        <v>439</v>
      </c>
      <c r="E87">
        <f>((1920+1070)/(90+50))</f>
        <v>21.357142857142858</v>
      </c>
      <c r="F87" s="10" t="s">
        <v>78</v>
      </c>
    </row>
    <row r="88" spans="1:6">
      <c r="A88" t="s">
        <v>341</v>
      </c>
      <c r="B88" t="s">
        <v>338</v>
      </c>
      <c r="C88" t="s">
        <v>337</v>
      </c>
      <c r="D88">
        <f>((243.3*6)+(130*1))/7</f>
        <v>227.11428571428573</v>
      </c>
      <c r="E88">
        <f>((900+60)/(56+7))</f>
        <v>15.238095238095237</v>
      </c>
      <c r="F88" s="10" t="s">
        <v>78</v>
      </c>
    </row>
    <row r="89" spans="1:6">
      <c r="A89" s="2" t="s">
        <v>243</v>
      </c>
      <c r="B89" s="2" t="s">
        <v>241</v>
      </c>
      <c r="C89" s="2" t="s">
        <v>176</v>
      </c>
      <c r="D89" s="2">
        <f>((400*4)+(441.7*6))/10</f>
        <v>425.02</v>
      </c>
      <c r="E89" s="2">
        <f>2920/121</f>
        <v>24.132231404958677</v>
      </c>
      <c r="F89" s="11">
        <v>4.2</v>
      </c>
    </row>
    <row r="90" spans="1:6">
      <c r="A90" s="2" t="s">
        <v>52</v>
      </c>
      <c r="B90" s="2" t="s">
        <v>1025</v>
      </c>
      <c r="C90" s="2" t="s">
        <v>152</v>
      </c>
      <c r="D90" s="2">
        <v>419.5</v>
      </c>
      <c r="E90" s="2">
        <v>21.19</v>
      </c>
      <c r="F90" s="11">
        <v>4.8</v>
      </c>
    </row>
    <row r="91" spans="1:6">
      <c r="A91" t="s">
        <v>52</v>
      </c>
      <c r="B91" t="s">
        <v>51</v>
      </c>
      <c r="C91" t="s">
        <v>47</v>
      </c>
      <c r="D91">
        <v>535.6</v>
      </c>
      <c r="E91">
        <v>24.92</v>
      </c>
      <c r="F91" s="10">
        <f>60/9</f>
        <v>6.666666666666667</v>
      </c>
    </row>
    <row r="92" spans="1:6">
      <c r="A92" t="s">
        <v>52</v>
      </c>
      <c r="B92" t="s">
        <v>156</v>
      </c>
      <c r="C92" t="s">
        <v>74</v>
      </c>
      <c r="D92">
        <v>437</v>
      </c>
      <c r="E92">
        <v>21.78</v>
      </c>
      <c r="F92" s="10">
        <f>70/11</f>
        <v>6.3636363636363633</v>
      </c>
    </row>
    <row r="93" spans="1:6">
      <c r="A93" s="2" t="s">
        <v>52</v>
      </c>
      <c r="B93" s="2" t="s">
        <v>530</v>
      </c>
      <c r="C93" s="2" t="s">
        <v>176</v>
      </c>
      <c r="D93" s="2">
        <v>509</v>
      </c>
      <c r="E93" s="2">
        <v>22.62</v>
      </c>
      <c r="F93" s="11">
        <v>6.1</v>
      </c>
    </row>
    <row r="94" spans="1:6">
      <c r="A94" s="2" t="s">
        <v>52</v>
      </c>
      <c r="B94" t="s">
        <v>120</v>
      </c>
      <c r="C94" t="s">
        <v>41</v>
      </c>
      <c r="D94">
        <v>345</v>
      </c>
      <c r="E94">
        <v>17.84</v>
      </c>
      <c r="F94" s="10">
        <f>19/8</f>
        <v>2.375</v>
      </c>
    </row>
    <row r="95" spans="1:6">
      <c r="A95" s="2" t="s">
        <v>54</v>
      </c>
      <c r="B95" s="2" t="s">
        <v>1025</v>
      </c>
      <c r="C95" s="2" t="s">
        <v>152</v>
      </c>
      <c r="D95" s="2">
        <v>260.7</v>
      </c>
      <c r="E95" s="2">
        <v>17.97</v>
      </c>
      <c r="F95" s="11">
        <f>17/7</f>
        <v>2.4285714285714284</v>
      </c>
    </row>
    <row r="96" spans="1:6">
      <c r="A96" t="s">
        <v>54</v>
      </c>
      <c r="B96" t="s">
        <v>51</v>
      </c>
      <c r="C96" t="s">
        <v>47</v>
      </c>
      <c r="D96">
        <v>281.2</v>
      </c>
      <c r="E96">
        <v>17.010000000000002</v>
      </c>
      <c r="F96" s="10">
        <f>22/8</f>
        <v>2.75</v>
      </c>
    </row>
    <row r="97" spans="1:6">
      <c r="A97" t="s">
        <v>54</v>
      </c>
      <c r="B97" t="s">
        <v>120</v>
      </c>
      <c r="C97" t="s">
        <v>41</v>
      </c>
      <c r="D97">
        <v>314.5</v>
      </c>
      <c r="E97">
        <v>18.86</v>
      </c>
      <c r="F97" s="10">
        <v>3.2</v>
      </c>
    </row>
    <row r="98" spans="1:6">
      <c r="A98" t="s">
        <v>55</v>
      </c>
      <c r="B98" t="s">
        <v>51</v>
      </c>
      <c r="C98" t="s">
        <v>47</v>
      </c>
      <c r="D98">
        <v>461.9</v>
      </c>
      <c r="E98">
        <v>22.57</v>
      </c>
      <c r="F98" s="10">
        <f>49/8</f>
        <v>6.125</v>
      </c>
    </row>
    <row r="99" spans="1:6">
      <c r="A99" s="2" t="s">
        <v>150</v>
      </c>
      <c r="B99" t="s">
        <v>132</v>
      </c>
      <c r="C99" t="s">
        <v>41</v>
      </c>
      <c r="D99">
        <v>271.5</v>
      </c>
      <c r="E99">
        <v>13.2</v>
      </c>
      <c r="F99" s="10">
        <v>1.6</v>
      </c>
    </row>
    <row r="100" spans="1:6">
      <c r="A100" t="s">
        <v>150</v>
      </c>
      <c r="B100" t="s">
        <v>377</v>
      </c>
      <c r="C100" t="s">
        <v>176</v>
      </c>
      <c r="D100">
        <v>329.5</v>
      </c>
      <c r="E100">
        <v>18.8</v>
      </c>
      <c r="F100" s="10">
        <v>2.1</v>
      </c>
    </row>
    <row r="101" spans="1:6">
      <c r="A101" s="2" t="s">
        <v>150</v>
      </c>
      <c r="B101" s="2" t="s">
        <v>1021</v>
      </c>
      <c r="C101" s="2" t="s">
        <v>74</v>
      </c>
      <c r="D101" s="2">
        <v>505.7</v>
      </c>
      <c r="E101" s="2">
        <f>(3950/5680)*30</f>
        <v>20.862676056338028</v>
      </c>
      <c r="F101" s="11">
        <f>79/14</f>
        <v>5.6428571428571432</v>
      </c>
    </row>
    <row r="102" spans="1:6">
      <c r="A102" t="s">
        <v>150</v>
      </c>
      <c r="B102" t="s">
        <v>438</v>
      </c>
      <c r="C102" t="s">
        <v>82</v>
      </c>
      <c r="D102">
        <v>422.5</v>
      </c>
      <c r="E102">
        <v>19.13</v>
      </c>
      <c r="F102" s="10">
        <v>2.9</v>
      </c>
    </row>
    <row r="103" spans="1:6">
      <c r="A103" s="2" t="s">
        <v>403</v>
      </c>
      <c r="B103" s="2" t="s">
        <v>1038</v>
      </c>
      <c r="C103" s="2" t="s">
        <v>1038</v>
      </c>
      <c r="D103" s="2">
        <v>193.5</v>
      </c>
      <c r="E103" s="2">
        <v>14.94</v>
      </c>
      <c r="F103" s="11" t="s">
        <v>78</v>
      </c>
    </row>
    <row r="104" spans="1:6">
      <c r="A104" t="s">
        <v>403</v>
      </c>
      <c r="B104" t="s">
        <v>402</v>
      </c>
      <c r="C104" t="s">
        <v>74</v>
      </c>
      <c r="D104">
        <v>210.5</v>
      </c>
      <c r="E104">
        <v>15.12</v>
      </c>
      <c r="F104" s="10">
        <v>2.8</v>
      </c>
    </row>
    <row r="105" spans="1:6">
      <c r="A105" t="s">
        <v>403</v>
      </c>
      <c r="B105" t="s">
        <v>404</v>
      </c>
      <c r="C105" t="s">
        <v>82</v>
      </c>
      <c r="D105">
        <v>214.5</v>
      </c>
      <c r="E105">
        <v>14.94</v>
      </c>
      <c r="F105" s="10">
        <v>1.6</v>
      </c>
    </row>
    <row r="106" spans="1:6">
      <c r="A106" t="s">
        <v>405</v>
      </c>
      <c r="B106" t="s">
        <v>402</v>
      </c>
      <c r="C106" t="s">
        <v>74</v>
      </c>
      <c r="D106">
        <v>255.6</v>
      </c>
      <c r="E106">
        <v>16.55</v>
      </c>
      <c r="F106" s="10">
        <f>26/9</f>
        <v>2.8888888888888888</v>
      </c>
    </row>
    <row r="107" spans="1:6">
      <c r="A107" t="s">
        <v>112</v>
      </c>
      <c r="B107" t="s">
        <v>113</v>
      </c>
      <c r="C107" t="s">
        <v>77</v>
      </c>
      <c r="D107">
        <v>455.6</v>
      </c>
      <c r="E107">
        <v>24.14</v>
      </c>
      <c r="F107" s="10" t="s">
        <v>78</v>
      </c>
    </row>
    <row r="108" spans="1:6">
      <c r="A108" s="2" t="s">
        <v>112</v>
      </c>
      <c r="B108" s="2" t="s">
        <v>1029</v>
      </c>
      <c r="C108" s="2" t="s">
        <v>152</v>
      </c>
      <c r="D108" s="2">
        <v>441.5</v>
      </c>
      <c r="E108" s="2">
        <v>22.98</v>
      </c>
      <c r="F108" s="11">
        <v>5</v>
      </c>
    </row>
    <row r="109" spans="1:6">
      <c r="A109" s="5" t="s">
        <v>184</v>
      </c>
      <c r="B109" t="s">
        <v>510</v>
      </c>
      <c r="C109" s="2" t="s">
        <v>152</v>
      </c>
      <c r="D109" s="2">
        <v>278.10000000000002</v>
      </c>
      <c r="E109" t="s">
        <v>78</v>
      </c>
      <c r="F109" s="10">
        <f>17/8</f>
        <v>2.125</v>
      </c>
    </row>
    <row r="110" spans="1:6">
      <c r="A110" t="s">
        <v>184</v>
      </c>
      <c r="B110" t="s">
        <v>324</v>
      </c>
      <c r="C110" t="s">
        <v>74</v>
      </c>
      <c r="D110">
        <v>399.5</v>
      </c>
      <c r="E110">
        <v>20.98</v>
      </c>
      <c r="F110" s="10">
        <v>6.7</v>
      </c>
    </row>
    <row r="111" spans="1:6">
      <c r="A111" t="s">
        <v>184</v>
      </c>
      <c r="B111" t="s">
        <v>167</v>
      </c>
      <c r="C111" t="s">
        <v>82</v>
      </c>
      <c r="D111">
        <v>266</v>
      </c>
      <c r="E111">
        <v>15.58</v>
      </c>
      <c r="F111" s="10">
        <v>3.1</v>
      </c>
    </row>
    <row r="112" spans="1:6">
      <c r="A112" t="s">
        <v>184</v>
      </c>
      <c r="B112" t="s">
        <v>1055</v>
      </c>
      <c r="C112" t="s">
        <v>337</v>
      </c>
      <c r="D112">
        <v>277.8</v>
      </c>
      <c r="E112">
        <v>17.260000000000002</v>
      </c>
      <c r="F112" s="10" t="s">
        <v>78</v>
      </c>
    </row>
    <row r="113" spans="1:6">
      <c r="A113" t="s">
        <v>184</v>
      </c>
      <c r="B113" t="s">
        <v>1074</v>
      </c>
      <c r="C113" t="s">
        <v>1038</v>
      </c>
      <c r="D113">
        <v>225.6</v>
      </c>
      <c r="E113">
        <v>18.420000000000002</v>
      </c>
      <c r="F113" s="10" t="s">
        <v>78</v>
      </c>
    </row>
    <row r="114" spans="1:6">
      <c r="A114" t="s">
        <v>84</v>
      </c>
      <c r="B114" t="s">
        <v>82</v>
      </c>
      <c r="C114" t="s">
        <v>82</v>
      </c>
      <c r="D114">
        <v>296.7</v>
      </c>
      <c r="E114">
        <v>18.59</v>
      </c>
      <c r="F114" s="10">
        <f>17/9</f>
        <v>1.8888888888888888</v>
      </c>
    </row>
    <row r="115" spans="1:6">
      <c r="A115" s="2" t="s">
        <v>84</v>
      </c>
      <c r="B115" s="2" t="s">
        <v>1029</v>
      </c>
      <c r="C115" s="2" t="s">
        <v>152</v>
      </c>
      <c r="D115" s="2">
        <v>286</v>
      </c>
      <c r="E115" s="2">
        <v>18.989999999999998</v>
      </c>
      <c r="F115" s="11">
        <v>2.9</v>
      </c>
    </row>
    <row r="116" spans="1:6">
      <c r="A116" t="s">
        <v>84</v>
      </c>
      <c r="B116" t="s">
        <v>302</v>
      </c>
      <c r="C116" t="s">
        <v>176</v>
      </c>
      <c r="D116">
        <v>415</v>
      </c>
      <c r="E116">
        <v>23.22</v>
      </c>
      <c r="F116" s="10">
        <f>23/7</f>
        <v>3.2857142857142856</v>
      </c>
    </row>
    <row r="117" spans="1:6">
      <c r="A117" t="s">
        <v>84</v>
      </c>
      <c r="B117" t="s">
        <v>1053</v>
      </c>
      <c r="C117" t="s">
        <v>412</v>
      </c>
      <c r="D117">
        <v>363</v>
      </c>
      <c r="E117">
        <v>17.71</v>
      </c>
      <c r="F117" s="10" t="s">
        <v>78</v>
      </c>
    </row>
    <row r="118" spans="1:6">
      <c r="A118" s="2" t="s">
        <v>33</v>
      </c>
      <c r="B118" t="s">
        <v>33</v>
      </c>
      <c r="C118" t="s">
        <v>41</v>
      </c>
      <c r="D118">
        <v>257.2</v>
      </c>
      <c r="E118">
        <v>14.43</v>
      </c>
      <c r="F118" s="10">
        <v>1</v>
      </c>
    </row>
    <row r="119" spans="1:6">
      <c r="A119" t="s">
        <v>33</v>
      </c>
      <c r="B119" t="s">
        <v>42</v>
      </c>
      <c r="C119" t="s">
        <v>47</v>
      </c>
      <c r="D119">
        <v>410</v>
      </c>
      <c r="E119">
        <v>20.65</v>
      </c>
      <c r="F119" s="10">
        <f>35/9</f>
        <v>3.8888888888888888</v>
      </c>
    </row>
    <row r="120" spans="1:6">
      <c r="A120" t="s">
        <v>318</v>
      </c>
      <c r="B120" t="s">
        <v>317</v>
      </c>
      <c r="C120" t="s">
        <v>296</v>
      </c>
      <c r="D120">
        <v>195.9</v>
      </c>
      <c r="E120">
        <v>13.58</v>
      </c>
      <c r="F120" s="10" t="s">
        <v>78</v>
      </c>
    </row>
    <row r="121" spans="1:6">
      <c r="A121" t="s">
        <v>181</v>
      </c>
      <c r="B121" t="s">
        <v>267</v>
      </c>
      <c r="C121" t="s">
        <v>74</v>
      </c>
      <c r="D121">
        <v>545</v>
      </c>
      <c r="E121">
        <v>24.41</v>
      </c>
      <c r="F121" s="10">
        <v>10.1</v>
      </c>
    </row>
    <row r="122" spans="1:6">
      <c r="A122" t="s">
        <v>181</v>
      </c>
      <c r="B122" t="s">
        <v>302</v>
      </c>
      <c r="C122" t="s">
        <v>176</v>
      </c>
      <c r="D122">
        <v>581.4</v>
      </c>
      <c r="E122">
        <v>23.97</v>
      </c>
      <c r="F122" s="10">
        <f>64/7</f>
        <v>9.1428571428571423</v>
      </c>
    </row>
    <row r="123" spans="1:6">
      <c r="A123" t="s">
        <v>181</v>
      </c>
      <c r="B123" t="s">
        <v>167</v>
      </c>
      <c r="C123" t="s">
        <v>82</v>
      </c>
      <c r="D123">
        <v>444.5</v>
      </c>
      <c r="E123">
        <v>22.59</v>
      </c>
      <c r="F123" s="10">
        <f>63/11</f>
        <v>5.7272727272727275</v>
      </c>
    </row>
    <row r="124" spans="1:6">
      <c r="A124" t="s">
        <v>181</v>
      </c>
      <c r="B124" t="s">
        <v>1060</v>
      </c>
      <c r="C124" t="s">
        <v>1061</v>
      </c>
      <c r="D124">
        <f>((454.3*7)+(566.25*4))/11</f>
        <v>495.00909090909096</v>
      </c>
      <c r="E124">
        <f>((2135+1470)/(100+67))</f>
        <v>21.58682634730539</v>
      </c>
      <c r="F124" s="10">
        <f>((26+28)/11)</f>
        <v>4.9090909090909092</v>
      </c>
    </row>
    <row r="125" spans="1:6">
      <c r="A125" t="s">
        <v>181</v>
      </c>
      <c r="B125" t="s">
        <v>1074</v>
      </c>
      <c r="C125" t="s">
        <v>1038</v>
      </c>
      <c r="D125">
        <v>382</v>
      </c>
      <c r="E125">
        <v>22.69</v>
      </c>
      <c r="F125" s="10" t="s">
        <v>78</v>
      </c>
    </row>
    <row r="126" spans="1:6">
      <c r="A126" t="s">
        <v>180</v>
      </c>
      <c r="B126" t="s">
        <v>267</v>
      </c>
      <c r="C126" t="s">
        <v>74</v>
      </c>
      <c r="D126">
        <v>445</v>
      </c>
      <c r="E126">
        <v>22.5</v>
      </c>
      <c r="F126" s="10">
        <v>6.9</v>
      </c>
    </row>
    <row r="127" spans="1:6">
      <c r="A127" t="s">
        <v>180</v>
      </c>
      <c r="B127" t="s">
        <v>302</v>
      </c>
      <c r="C127" t="s">
        <v>176</v>
      </c>
      <c r="D127">
        <v>447.1</v>
      </c>
      <c r="E127">
        <v>22.45</v>
      </c>
      <c r="F127" s="10">
        <f>26/7</f>
        <v>3.7142857142857144</v>
      </c>
    </row>
    <row r="128" spans="1:6">
      <c r="A128" t="s">
        <v>180</v>
      </c>
      <c r="B128" t="s">
        <v>167</v>
      </c>
      <c r="C128" t="s">
        <v>82</v>
      </c>
      <c r="D128">
        <v>324</v>
      </c>
      <c r="E128">
        <v>19.350000000000001</v>
      </c>
      <c r="F128" s="10">
        <v>3.1</v>
      </c>
    </row>
    <row r="129" spans="1:6">
      <c r="A129" t="s">
        <v>180</v>
      </c>
      <c r="B129" t="s">
        <v>1060</v>
      </c>
      <c r="C129" t="s">
        <v>1061</v>
      </c>
      <c r="D129">
        <f>((340.7*7)+(281*5))/12</f>
        <v>315.82499999999999</v>
      </c>
      <c r="E129">
        <f>((1480+920)/(88+47))</f>
        <v>17.777777777777779</v>
      </c>
      <c r="F129" s="10">
        <f>29/12</f>
        <v>2.4166666666666665</v>
      </c>
    </row>
    <row r="130" spans="1:6">
      <c r="A130" t="s">
        <v>1066</v>
      </c>
      <c r="B130" t="s">
        <v>1060</v>
      </c>
      <c r="C130" t="s">
        <v>1061</v>
      </c>
      <c r="D130">
        <f>((325.7*7)+(353.3*6))/13</f>
        <v>338.43846153846158</v>
      </c>
      <c r="E130">
        <f>((1465+1085)/(78+61))</f>
        <v>18.345323741007196</v>
      </c>
      <c r="F130" s="10">
        <f>45/11</f>
        <v>4.0909090909090908</v>
      </c>
    </row>
    <row r="131" spans="1:6">
      <c r="A131" t="s">
        <v>191</v>
      </c>
      <c r="B131" t="s">
        <v>136</v>
      </c>
      <c r="C131" t="s">
        <v>47</v>
      </c>
      <c r="D131">
        <v>492.9</v>
      </c>
      <c r="E131" t="s">
        <v>78</v>
      </c>
      <c r="F131" s="10" t="s">
        <v>78</v>
      </c>
    </row>
    <row r="132" spans="1:6">
      <c r="A132" t="s">
        <v>191</v>
      </c>
      <c r="B132" t="s">
        <v>163</v>
      </c>
      <c r="C132" t="s">
        <v>41</v>
      </c>
      <c r="D132">
        <v>380</v>
      </c>
      <c r="E132">
        <v>18.489999999999998</v>
      </c>
      <c r="F132" s="10">
        <v>4</v>
      </c>
    </row>
    <row r="133" spans="1:6">
      <c r="A133" s="5" t="s">
        <v>191</v>
      </c>
      <c r="B133" s="5" t="s">
        <v>1050</v>
      </c>
      <c r="C133" s="5" t="s">
        <v>176</v>
      </c>
      <c r="D133" s="5">
        <v>350</v>
      </c>
      <c r="E133" s="5">
        <v>22.31</v>
      </c>
      <c r="F133" s="9" t="s">
        <v>78</v>
      </c>
    </row>
    <row r="134" spans="1:6">
      <c r="A134" t="s">
        <v>297</v>
      </c>
      <c r="B134" t="s">
        <v>295</v>
      </c>
      <c r="C134" t="s">
        <v>296</v>
      </c>
      <c r="D134">
        <v>420.5</v>
      </c>
      <c r="E134">
        <v>24.8</v>
      </c>
      <c r="F134" s="10" t="s">
        <v>78</v>
      </c>
    </row>
    <row r="135" spans="1:6">
      <c r="A135" s="2" t="s">
        <v>297</v>
      </c>
      <c r="B135" s="2" t="s">
        <v>1038</v>
      </c>
      <c r="C135" s="2" t="s">
        <v>1038</v>
      </c>
      <c r="D135" s="2">
        <v>460.5</v>
      </c>
      <c r="E135" s="2">
        <v>24.87</v>
      </c>
      <c r="F135" s="11" t="s">
        <v>78</v>
      </c>
    </row>
    <row r="136" spans="1:6">
      <c r="A136" s="2" t="s">
        <v>297</v>
      </c>
      <c r="B136" s="2" t="s">
        <v>337</v>
      </c>
      <c r="C136" s="2" t="s">
        <v>337</v>
      </c>
      <c r="D136" s="2">
        <f>((502*5)+(373*5))/10</f>
        <v>437.5</v>
      </c>
      <c r="E136" s="2">
        <f>((1870+1350)/(74+57))</f>
        <v>24.580152671755727</v>
      </c>
      <c r="F136" s="11" t="s">
        <v>78</v>
      </c>
    </row>
    <row r="137" spans="1:6">
      <c r="A137" t="s">
        <v>297</v>
      </c>
      <c r="B137" t="s">
        <v>1053</v>
      </c>
      <c r="C137" t="s">
        <v>412</v>
      </c>
      <c r="D137">
        <v>516.4</v>
      </c>
      <c r="E137">
        <v>25.28</v>
      </c>
      <c r="F137" s="10" t="s">
        <v>78</v>
      </c>
    </row>
    <row r="138" spans="1:6">
      <c r="A138" t="s">
        <v>319</v>
      </c>
      <c r="B138" t="s">
        <v>320</v>
      </c>
      <c r="C138" t="s">
        <v>296</v>
      </c>
      <c r="D138">
        <v>293.3</v>
      </c>
      <c r="E138">
        <v>20.49</v>
      </c>
      <c r="F138" s="10" t="s">
        <v>78</v>
      </c>
    </row>
    <row r="139" spans="1:6">
      <c r="A139" s="2" t="s">
        <v>319</v>
      </c>
      <c r="B139" s="2" t="s">
        <v>1038</v>
      </c>
      <c r="C139" s="2" t="s">
        <v>1038</v>
      </c>
      <c r="D139" s="2">
        <v>294</v>
      </c>
      <c r="E139" s="2">
        <v>20.64</v>
      </c>
      <c r="F139" s="11" t="s">
        <v>78</v>
      </c>
    </row>
    <row r="140" spans="1:6">
      <c r="A140" t="s">
        <v>319</v>
      </c>
      <c r="B140" t="s">
        <v>1053</v>
      </c>
      <c r="C140" t="s">
        <v>412</v>
      </c>
      <c r="D140">
        <v>392.7</v>
      </c>
      <c r="E140">
        <v>20.21</v>
      </c>
      <c r="F140" s="10" t="s">
        <v>78</v>
      </c>
    </row>
    <row r="141" spans="1:6">
      <c r="A141" t="s">
        <v>321</v>
      </c>
      <c r="B141" t="s">
        <v>320</v>
      </c>
      <c r="C141" t="s">
        <v>296</v>
      </c>
      <c r="D141">
        <v>148.6</v>
      </c>
      <c r="E141">
        <v>14.23</v>
      </c>
      <c r="F141" s="10" t="s">
        <v>78</v>
      </c>
    </row>
    <row r="142" spans="1:6">
      <c r="A142" s="2" t="s">
        <v>160</v>
      </c>
      <c r="B142" t="s">
        <v>99</v>
      </c>
      <c r="C142" t="s">
        <v>41</v>
      </c>
      <c r="D142">
        <v>261.7</v>
      </c>
      <c r="E142">
        <v>14.14</v>
      </c>
      <c r="F142" s="10" t="s">
        <v>78</v>
      </c>
    </row>
    <row r="143" spans="1:6">
      <c r="A143" t="s">
        <v>143</v>
      </c>
      <c r="B143" t="s">
        <v>84</v>
      </c>
      <c r="C143" t="s">
        <v>74</v>
      </c>
      <c r="D143">
        <v>503.6</v>
      </c>
      <c r="E143">
        <v>23.86</v>
      </c>
      <c r="F143" s="10">
        <v>8</v>
      </c>
    </row>
    <row r="144" spans="1:6">
      <c r="A144" s="2" t="s">
        <v>143</v>
      </c>
      <c r="B144" s="2" t="s">
        <v>337</v>
      </c>
      <c r="C144" s="2" t="s">
        <v>337</v>
      </c>
      <c r="D144" s="2">
        <f>((496*5)+(212*5))/10</f>
        <v>354</v>
      </c>
      <c r="E144" s="2">
        <f>((1820+790)/(75+34))</f>
        <v>23.944954128440369</v>
      </c>
      <c r="F144" s="11" t="s">
        <v>78</v>
      </c>
    </row>
    <row r="145" spans="1:6">
      <c r="A145" t="s">
        <v>143</v>
      </c>
      <c r="B145" t="s">
        <v>186</v>
      </c>
      <c r="C145" t="s">
        <v>47</v>
      </c>
      <c r="D145">
        <v>462.1</v>
      </c>
      <c r="E145">
        <v>22.87</v>
      </c>
      <c r="F145" s="10">
        <f>55/7</f>
        <v>7.8571428571428568</v>
      </c>
    </row>
    <row r="146" spans="1:6">
      <c r="A146" t="s">
        <v>145</v>
      </c>
      <c r="B146" t="s">
        <v>84</v>
      </c>
      <c r="C146" t="s">
        <v>74</v>
      </c>
      <c r="D146">
        <v>338.3</v>
      </c>
      <c r="E146">
        <v>18.28</v>
      </c>
      <c r="F146" s="10">
        <f>39/9</f>
        <v>4.333333333333333</v>
      </c>
    </row>
    <row r="147" spans="1:6">
      <c r="A147" s="2" t="s">
        <v>145</v>
      </c>
      <c r="B147" s="2" t="s">
        <v>337</v>
      </c>
      <c r="C147" s="2" t="s">
        <v>337</v>
      </c>
      <c r="D147" s="2">
        <f>((347*5)+(298*5))/10</f>
        <v>322.5</v>
      </c>
      <c r="E147" s="2">
        <f>((1200+1005)/(62+58))</f>
        <v>18.375</v>
      </c>
      <c r="F147" s="11" t="s">
        <v>78</v>
      </c>
    </row>
    <row r="148" spans="1:6">
      <c r="A148" t="s">
        <v>145</v>
      </c>
      <c r="B148" t="s">
        <v>186</v>
      </c>
      <c r="C148" t="s">
        <v>47</v>
      </c>
      <c r="D148">
        <v>535</v>
      </c>
      <c r="E148">
        <v>24.04</v>
      </c>
      <c r="F148" s="10">
        <f>54/7</f>
        <v>7.7142857142857144</v>
      </c>
    </row>
    <row r="149" spans="1:6">
      <c r="A149" t="s">
        <v>187</v>
      </c>
      <c r="B149" t="s">
        <v>186</v>
      </c>
      <c r="C149" t="s">
        <v>47</v>
      </c>
      <c r="D149">
        <v>392.1</v>
      </c>
      <c r="E149">
        <v>19.72</v>
      </c>
      <c r="F149" s="10">
        <v>5</v>
      </c>
    </row>
    <row r="150" spans="1:6">
      <c r="A150" t="s">
        <v>83</v>
      </c>
      <c r="B150" t="s">
        <v>82</v>
      </c>
      <c r="C150" t="s">
        <v>82</v>
      </c>
      <c r="D150">
        <v>351.7</v>
      </c>
      <c r="E150">
        <v>17.22</v>
      </c>
      <c r="F150" s="10">
        <f>31/9</f>
        <v>3.4444444444444446</v>
      </c>
    </row>
    <row r="151" spans="1:6">
      <c r="A151" s="2" t="s">
        <v>242</v>
      </c>
      <c r="B151" s="2" t="s">
        <v>241</v>
      </c>
      <c r="C151" s="2" t="s">
        <v>176</v>
      </c>
      <c r="D151" s="2">
        <f>((260*4)+(251.7*6))/10</f>
        <v>255.01999999999998</v>
      </c>
      <c r="E151" s="2">
        <f>1650/91</f>
        <v>18.131868131868131</v>
      </c>
      <c r="F151" s="11">
        <v>2.1</v>
      </c>
    </row>
    <row r="152" spans="1:6">
      <c r="A152" t="s">
        <v>70</v>
      </c>
      <c r="B152" t="s">
        <v>407</v>
      </c>
      <c r="C152" t="s">
        <v>382</v>
      </c>
      <c r="D152">
        <v>281</v>
      </c>
      <c r="E152">
        <v>17.809999999999999</v>
      </c>
      <c r="F152" s="10" t="s">
        <v>78</v>
      </c>
    </row>
    <row r="153" spans="1:6">
      <c r="A153" t="s">
        <v>70</v>
      </c>
      <c r="B153" t="s">
        <v>288</v>
      </c>
      <c r="C153" t="s">
        <v>41</v>
      </c>
      <c r="D153">
        <v>289.5</v>
      </c>
      <c r="E153">
        <v>18.23</v>
      </c>
      <c r="F153" s="10">
        <f>21/11</f>
        <v>1.9090909090909092</v>
      </c>
    </row>
    <row r="154" spans="1:6">
      <c r="A154" t="s">
        <v>70</v>
      </c>
      <c r="B154" t="s">
        <v>65</v>
      </c>
      <c r="C154" t="s">
        <v>47</v>
      </c>
      <c r="D154">
        <v>428.9</v>
      </c>
      <c r="E154">
        <v>22.52</v>
      </c>
      <c r="F154" s="10">
        <f>40/9</f>
        <v>4.4444444444444446</v>
      </c>
    </row>
    <row r="155" spans="1:6">
      <c r="A155" s="2" t="s">
        <v>1036</v>
      </c>
      <c r="B155" s="2" t="s">
        <v>1035</v>
      </c>
      <c r="C155" s="2" t="s">
        <v>41</v>
      </c>
      <c r="D155" s="2">
        <v>338.2</v>
      </c>
      <c r="E155" s="2">
        <v>18.82</v>
      </c>
      <c r="F155" s="11">
        <f>16/11</f>
        <v>1.4545454545454546</v>
      </c>
    </row>
    <row r="156" spans="1:6">
      <c r="A156" s="2" t="s">
        <v>282</v>
      </c>
      <c r="B156" s="2" t="s">
        <v>215</v>
      </c>
      <c r="C156" s="2" t="s">
        <v>47</v>
      </c>
      <c r="D156" s="2">
        <v>455</v>
      </c>
      <c r="E156" s="2">
        <v>22.96</v>
      </c>
      <c r="F156" s="11">
        <v>4.7</v>
      </c>
    </row>
    <row r="157" spans="1:6">
      <c r="A157" s="2" t="s">
        <v>281</v>
      </c>
      <c r="B157" s="2" t="s">
        <v>215</v>
      </c>
      <c r="C157" s="2" t="s">
        <v>47</v>
      </c>
      <c r="D157" s="2">
        <v>341.5</v>
      </c>
      <c r="E157" s="2">
        <v>20.55</v>
      </c>
      <c r="F157" s="11">
        <v>3.6</v>
      </c>
    </row>
    <row r="158" spans="1:6">
      <c r="A158" s="2" t="s">
        <v>103</v>
      </c>
      <c r="B158" t="s">
        <v>97</v>
      </c>
      <c r="C158" t="s">
        <v>41</v>
      </c>
      <c r="D158">
        <v>226.11</v>
      </c>
      <c r="E158">
        <v>16.2</v>
      </c>
      <c r="F158" s="10">
        <f>19/9</f>
        <v>2.1111111111111112</v>
      </c>
    </row>
    <row r="159" spans="1:6">
      <c r="A159" t="s">
        <v>261</v>
      </c>
      <c r="B159" t="s">
        <v>257</v>
      </c>
      <c r="C159" t="s">
        <v>74</v>
      </c>
      <c r="D159">
        <v>235</v>
      </c>
      <c r="E159">
        <v>16.18</v>
      </c>
      <c r="F159" s="10">
        <v>3.9</v>
      </c>
    </row>
    <row r="160" spans="1:6">
      <c r="A160" t="s">
        <v>111</v>
      </c>
      <c r="B160" t="s">
        <v>353</v>
      </c>
      <c r="C160" t="s">
        <v>337</v>
      </c>
      <c r="D160">
        <f>((383*6)+(368*2))/8</f>
        <v>379.25</v>
      </c>
      <c r="E160">
        <f>((1520+480)/(77+24))</f>
        <v>19.801980198019802</v>
      </c>
      <c r="F160" s="10">
        <v>2</v>
      </c>
    </row>
    <row r="161" spans="1:6">
      <c r="A161" s="2" t="s">
        <v>111</v>
      </c>
      <c r="B161" s="2" t="s">
        <v>1038</v>
      </c>
      <c r="C161" s="2" t="s">
        <v>1038</v>
      </c>
      <c r="D161" s="2">
        <v>286.5</v>
      </c>
      <c r="E161" s="2">
        <v>19.12</v>
      </c>
      <c r="F161" s="11" t="s">
        <v>78</v>
      </c>
    </row>
    <row r="162" spans="1:6">
      <c r="A162" t="s">
        <v>111</v>
      </c>
      <c r="B162" t="s">
        <v>106</v>
      </c>
      <c r="C162" t="s">
        <v>74</v>
      </c>
      <c r="D162">
        <v>316.2</v>
      </c>
      <c r="E162">
        <v>17.2</v>
      </c>
      <c r="F162" s="10" t="s">
        <v>78</v>
      </c>
    </row>
    <row r="163" spans="1:6">
      <c r="A163" s="2" t="s">
        <v>190</v>
      </c>
      <c r="B163" t="s">
        <v>163</v>
      </c>
      <c r="C163" t="s">
        <v>41</v>
      </c>
      <c r="D163">
        <v>381.5</v>
      </c>
      <c r="E163">
        <v>18.18</v>
      </c>
      <c r="F163" s="10">
        <v>3.4</v>
      </c>
    </row>
    <row r="164" spans="1:6">
      <c r="A164" t="s">
        <v>379</v>
      </c>
      <c r="B164" t="s">
        <v>377</v>
      </c>
      <c r="C164" t="s">
        <v>176</v>
      </c>
      <c r="D164">
        <v>313</v>
      </c>
      <c r="E164">
        <v>18.8</v>
      </c>
      <c r="F164" s="10">
        <v>1.8</v>
      </c>
    </row>
    <row r="165" spans="1:6">
      <c r="A165" t="s">
        <v>1077</v>
      </c>
      <c r="B165" t="s">
        <v>186</v>
      </c>
      <c r="C165" t="s">
        <v>47</v>
      </c>
      <c r="D165">
        <v>355.7</v>
      </c>
      <c r="E165">
        <v>20.78</v>
      </c>
      <c r="F165" s="10">
        <v>4</v>
      </c>
    </row>
    <row r="166" spans="1:6">
      <c r="A166" t="s">
        <v>0</v>
      </c>
      <c r="B166" t="s">
        <v>33</v>
      </c>
      <c r="C166" t="s">
        <v>41</v>
      </c>
      <c r="D166">
        <v>383.6</v>
      </c>
      <c r="E166">
        <v>19.89</v>
      </c>
      <c r="F166" s="10">
        <f>26/7</f>
        <v>3.7142857142857144</v>
      </c>
    </row>
    <row r="167" spans="1:6">
      <c r="A167" t="s">
        <v>0</v>
      </c>
      <c r="B167" t="s">
        <v>14</v>
      </c>
      <c r="C167" t="s">
        <v>74</v>
      </c>
      <c r="D167">
        <v>531.4</v>
      </c>
      <c r="E167">
        <v>20.43</v>
      </c>
      <c r="F167" s="10">
        <f>32/7</f>
        <v>4.5714285714285712</v>
      </c>
    </row>
    <row r="168" spans="1:6">
      <c r="A168" t="s">
        <v>189</v>
      </c>
      <c r="B168" t="s">
        <v>186</v>
      </c>
      <c r="C168" t="s">
        <v>47</v>
      </c>
      <c r="D168">
        <v>548.1</v>
      </c>
      <c r="E168">
        <v>24.73</v>
      </c>
      <c r="F168" s="10">
        <f>53/7</f>
        <v>7.5714285714285712</v>
      </c>
    </row>
    <row r="169" spans="1:6">
      <c r="A169" s="5" t="s">
        <v>507</v>
      </c>
      <c r="B169" t="s">
        <v>510</v>
      </c>
      <c r="C169" s="2" t="s">
        <v>152</v>
      </c>
      <c r="D169" s="2">
        <v>264.39999999999998</v>
      </c>
      <c r="E169" t="s">
        <v>78</v>
      </c>
      <c r="F169" s="10">
        <f>17/8</f>
        <v>2.125</v>
      </c>
    </row>
    <row r="170" spans="1:6">
      <c r="A170" t="s">
        <v>275</v>
      </c>
      <c r="B170" t="s">
        <v>274</v>
      </c>
      <c r="C170" t="s">
        <v>77</v>
      </c>
      <c r="D170">
        <v>332.5</v>
      </c>
      <c r="E170">
        <v>16.649999999999999</v>
      </c>
      <c r="F170" s="10" t="s">
        <v>78</v>
      </c>
    </row>
    <row r="171" spans="1:6">
      <c r="A171" t="s">
        <v>383</v>
      </c>
      <c r="B171" t="s">
        <v>381</v>
      </c>
      <c r="C171" t="s">
        <v>382</v>
      </c>
      <c r="D171">
        <v>228.5</v>
      </c>
      <c r="E171">
        <v>15.54</v>
      </c>
      <c r="F171" s="10" t="s">
        <v>78</v>
      </c>
    </row>
    <row r="172" spans="1:6">
      <c r="A172" t="s">
        <v>502</v>
      </c>
      <c r="B172" t="s">
        <v>267</v>
      </c>
      <c r="C172" t="s">
        <v>74</v>
      </c>
      <c r="D172">
        <v>253.6</v>
      </c>
      <c r="E172">
        <v>18.07</v>
      </c>
      <c r="F172" s="10">
        <f>45/11</f>
        <v>4.0909090909090908</v>
      </c>
    </row>
    <row r="173" spans="1:6">
      <c r="A173" t="s">
        <v>62</v>
      </c>
      <c r="B173" t="s">
        <v>8</v>
      </c>
      <c r="C173" t="s">
        <v>41</v>
      </c>
      <c r="D173">
        <v>345</v>
      </c>
      <c r="E173">
        <v>18.38</v>
      </c>
      <c r="F173" s="10">
        <v>2</v>
      </c>
    </row>
    <row r="174" spans="1:6">
      <c r="A174" t="s">
        <v>62</v>
      </c>
      <c r="B174" t="s">
        <v>1056</v>
      </c>
      <c r="C174" t="s">
        <v>152</v>
      </c>
      <c r="D174">
        <v>341.9</v>
      </c>
      <c r="E174">
        <v>20.14</v>
      </c>
      <c r="F174" s="10">
        <f>45/13</f>
        <v>3.4615384615384617</v>
      </c>
    </row>
    <row r="175" spans="1:6">
      <c r="A175" t="s">
        <v>59</v>
      </c>
      <c r="B175" t="s">
        <v>267</v>
      </c>
      <c r="C175" t="s">
        <v>74</v>
      </c>
      <c r="D175">
        <v>402.5</v>
      </c>
      <c r="E175">
        <v>22.48</v>
      </c>
      <c r="F175" s="10">
        <v>5.7</v>
      </c>
    </row>
    <row r="176" spans="1:6">
      <c r="A176" s="2" t="s">
        <v>59</v>
      </c>
      <c r="B176" s="2" t="s">
        <v>1038</v>
      </c>
      <c r="C176" s="2" t="s">
        <v>1038</v>
      </c>
      <c r="D176" s="2">
        <v>372.5</v>
      </c>
      <c r="E176" s="2">
        <v>20.56</v>
      </c>
      <c r="F176" s="11" t="s">
        <v>78</v>
      </c>
    </row>
    <row r="177" spans="1:6">
      <c r="A177" t="s">
        <v>59</v>
      </c>
      <c r="B177" t="s">
        <v>8</v>
      </c>
      <c r="C177" t="s">
        <v>41</v>
      </c>
      <c r="D177">
        <v>257.2</v>
      </c>
      <c r="E177">
        <v>19.29</v>
      </c>
      <c r="F177" s="10">
        <f>21/9</f>
        <v>2.3333333333333335</v>
      </c>
    </row>
    <row r="178" spans="1:6">
      <c r="A178" t="s">
        <v>59</v>
      </c>
      <c r="B178" t="s">
        <v>348</v>
      </c>
      <c r="C178" t="s">
        <v>337</v>
      </c>
      <c r="D178">
        <f>((432.5*5)+(286.7*6))/11</f>
        <v>352.97272727272724</v>
      </c>
      <c r="E178">
        <f>((1135+1100)/(63+66))</f>
        <v>17.325581395348838</v>
      </c>
      <c r="F178" s="10" t="s">
        <v>78</v>
      </c>
    </row>
    <row r="179" spans="1:6">
      <c r="A179" t="s">
        <v>1070</v>
      </c>
      <c r="B179" t="s">
        <v>441</v>
      </c>
      <c r="C179" t="s">
        <v>1061</v>
      </c>
      <c r="D179">
        <v>427.3</v>
      </c>
      <c r="E179">
        <v>22.25</v>
      </c>
      <c r="F179" s="10">
        <f>40/11</f>
        <v>3.6363636363636362</v>
      </c>
    </row>
    <row r="180" spans="1:6">
      <c r="A180" t="s">
        <v>1059</v>
      </c>
      <c r="B180" t="s">
        <v>1056</v>
      </c>
      <c r="C180" t="s">
        <v>152</v>
      </c>
      <c r="D180">
        <v>239</v>
      </c>
      <c r="E180">
        <v>16.89</v>
      </c>
      <c r="F180" s="10">
        <f>15/11</f>
        <v>1.3636363636363635</v>
      </c>
    </row>
    <row r="181" spans="1:6">
      <c r="A181" t="s">
        <v>511</v>
      </c>
      <c r="B181" t="s">
        <v>512</v>
      </c>
      <c r="C181" s="2" t="s">
        <v>152</v>
      </c>
      <c r="D181" s="2">
        <v>341.7</v>
      </c>
      <c r="E181">
        <v>19.23</v>
      </c>
      <c r="F181" s="10">
        <f>14/9</f>
        <v>1.5555555555555556</v>
      </c>
    </row>
    <row r="182" spans="1:6">
      <c r="A182" t="s">
        <v>400</v>
      </c>
      <c r="B182" t="s">
        <v>397</v>
      </c>
      <c r="C182" t="s">
        <v>47</v>
      </c>
      <c r="D182">
        <v>231.5</v>
      </c>
      <c r="E182">
        <v>16.46</v>
      </c>
      <c r="F182" s="10">
        <v>2.2000000000000002</v>
      </c>
    </row>
    <row r="183" spans="1:6">
      <c r="A183" t="s">
        <v>270</v>
      </c>
      <c r="B183" t="s">
        <v>267</v>
      </c>
      <c r="C183" t="s">
        <v>74</v>
      </c>
      <c r="D183">
        <v>272.8</v>
      </c>
      <c r="E183">
        <v>15.16</v>
      </c>
      <c r="F183" s="10">
        <f>28/9</f>
        <v>3.1111111111111112</v>
      </c>
    </row>
    <row r="184" spans="1:6">
      <c r="A184" t="s">
        <v>155</v>
      </c>
      <c r="B184" t="s">
        <v>153</v>
      </c>
      <c r="C184" t="s">
        <v>152</v>
      </c>
      <c r="D184">
        <v>236</v>
      </c>
      <c r="E184">
        <v>16.97</v>
      </c>
      <c r="F184" s="10">
        <v>1.1000000000000001</v>
      </c>
    </row>
    <row r="185" spans="1:6">
      <c r="A185" s="2" t="s">
        <v>155</v>
      </c>
      <c r="B185" t="s">
        <v>288</v>
      </c>
      <c r="C185" t="s">
        <v>41</v>
      </c>
      <c r="D185">
        <v>332.1</v>
      </c>
      <c r="E185">
        <v>17.93</v>
      </c>
      <c r="F185" s="10">
        <f>17/7</f>
        <v>2.4285714285714284</v>
      </c>
    </row>
    <row r="186" spans="1:6">
      <c r="A186" t="s">
        <v>355</v>
      </c>
      <c r="B186" t="s">
        <v>353</v>
      </c>
      <c r="C186" t="s">
        <v>337</v>
      </c>
      <c r="D186">
        <f>((195*6)+(145*1))/7</f>
        <v>187.85714285714286</v>
      </c>
      <c r="E186">
        <f>((690+80)/(53+7))</f>
        <v>12.833333333333334</v>
      </c>
      <c r="F186" s="10">
        <f>1/7</f>
        <v>0.14285714285714285</v>
      </c>
    </row>
    <row r="187" spans="1:6">
      <c r="A187" t="s">
        <v>516</v>
      </c>
      <c r="B187" t="s">
        <v>515</v>
      </c>
      <c r="C187" s="2" t="s">
        <v>152</v>
      </c>
      <c r="D187" s="2">
        <v>198.3</v>
      </c>
      <c r="E187">
        <v>14.13</v>
      </c>
      <c r="F187" s="10">
        <f>7/9</f>
        <v>0.77777777777777779</v>
      </c>
    </row>
    <row r="188" spans="1:6">
      <c r="A188" t="s">
        <v>1067</v>
      </c>
      <c r="B188" t="s">
        <v>1060</v>
      </c>
      <c r="C188" t="s">
        <v>1061</v>
      </c>
      <c r="D188">
        <f>((354.3*7)+(283.3*3))/10</f>
        <v>333</v>
      </c>
      <c r="E188">
        <f>((1565+550)/(88+28))</f>
        <v>18.232758620689655</v>
      </c>
      <c r="F188" s="10">
        <v>1.7</v>
      </c>
    </row>
    <row r="189" spans="1:6">
      <c r="A189" t="s">
        <v>253</v>
      </c>
      <c r="B189" t="s">
        <v>244</v>
      </c>
      <c r="C189" t="s">
        <v>47</v>
      </c>
      <c r="D189">
        <v>340</v>
      </c>
      <c r="E189" t="s">
        <v>78</v>
      </c>
      <c r="F189" s="10" t="s">
        <v>78</v>
      </c>
    </row>
    <row r="190" spans="1:6">
      <c r="A190" t="s">
        <v>107</v>
      </c>
      <c r="B190" t="s">
        <v>295</v>
      </c>
      <c r="C190" t="s">
        <v>296</v>
      </c>
      <c r="D190">
        <v>260.5</v>
      </c>
      <c r="E190">
        <v>18</v>
      </c>
      <c r="F190" s="10" t="s">
        <v>78</v>
      </c>
    </row>
    <row r="191" spans="1:6">
      <c r="A191" t="s">
        <v>107</v>
      </c>
      <c r="B191" t="s">
        <v>353</v>
      </c>
      <c r="C191" t="s">
        <v>337</v>
      </c>
      <c r="D191">
        <f>((380*6)+(373*2))/8</f>
        <v>378.25</v>
      </c>
      <c r="E191">
        <f>((1460+470)/(82+27))</f>
        <v>17.706422018348626</v>
      </c>
      <c r="F191" s="10">
        <f>17/8</f>
        <v>2.125</v>
      </c>
    </row>
    <row r="192" spans="1:6">
      <c r="A192" t="s">
        <v>107</v>
      </c>
      <c r="B192" t="s">
        <v>106</v>
      </c>
      <c r="C192" t="s">
        <v>74</v>
      </c>
      <c r="D192">
        <v>466.2</v>
      </c>
      <c r="E192">
        <v>21.44</v>
      </c>
      <c r="F192" s="10" t="s">
        <v>78</v>
      </c>
    </row>
    <row r="193" spans="1:6">
      <c r="A193" s="2" t="s">
        <v>1046</v>
      </c>
      <c r="B193" s="2" t="s">
        <v>1043</v>
      </c>
      <c r="C193" s="2" t="s">
        <v>176</v>
      </c>
      <c r="D193" s="2">
        <v>283.8</v>
      </c>
      <c r="E193" s="2">
        <v>18.04</v>
      </c>
      <c r="F193" s="11">
        <f>21/8</f>
        <v>2.625</v>
      </c>
    </row>
    <row r="194" spans="1:6">
      <c r="A194" s="2" t="s">
        <v>1046</v>
      </c>
      <c r="B194" s="2" t="s">
        <v>6</v>
      </c>
      <c r="C194" s="2" t="s">
        <v>1051</v>
      </c>
      <c r="D194" s="2">
        <v>222.8</v>
      </c>
      <c r="E194" s="2" t="s">
        <v>78</v>
      </c>
      <c r="F194" s="11" t="s">
        <v>78</v>
      </c>
    </row>
    <row r="195" spans="1:6">
      <c r="A195" s="2" t="s">
        <v>362</v>
      </c>
      <c r="B195" s="2" t="s">
        <v>356</v>
      </c>
      <c r="C195" s="2" t="s">
        <v>47</v>
      </c>
      <c r="D195" s="2">
        <v>195.7</v>
      </c>
      <c r="E195" s="2">
        <v>17.100000000000001</v>
      </c>
      <c r="F195" s="11">
        <f>15/7</f>
        <v>2.1428571428571428</v>
      </c>
    </row>
    <row r="196" spans="1:6">
      <c r="A196" t="s">
        <v>114</v>
      </c>
      <c r="B196" t="s">
        <v>113</v>
      </c>
      <c r="C196" t="s">
        <v>77</v>
      </c>
      <c r="D196">
        <v>335.7</v>
      </c>
      <c r="E196">
        <v>18.12</v>
      </c>
      <c r="F196" s="10" t="s">
        <v>78</v>
      </c>
    </row>
    <row r="197" spans="1:6">
      <c r="A197" t="s">
        <v>416</v>
      </c>
      <c r="B197" t="s">
        <v>413</v>
      </c>
      <c r="C197" t="s">
        <v>412</v>
      </c>
      <c r="D197">
        <v>217.3</v>
      </c>
      <c r="E197">
        <v>10.75</v>
      </c>
      <c r="F197" s="10" t="s">
        <v>78</v>
      </c>
    </row>
    <row r="198" spans="1:6">
      <c r="A198" t="s">
        <v>1071</v>
      </c>
      <c r="B198" t="s">
        <v>441</v>
      </c>
      <c r="C198" t="s">
        <v>1061</v>
      </c>
      <c r="D198">
        <v>300.5</v>
      </c>
      <c r="E198">
        <v>18.350000000000001</v>
      </c>
      <c r="F198" s="10">
        <f>21/11</f>
        <v>1.9090909090909092</v>
      </c>
    </row>
    <row r="199" spans="1:6">
      <c r="A199" s="2" t="s">
        <v>360</v>
      </c>
      <c r="B199" s="2" t="s">
        <v>356</v>
      </c>
      <c r="C199" s="2" t="s">
        <v>47</v>
      </c>
      <c r="D199" s="2">
        <v>202.5</v>
      </c>
      <c r="E199" s="2">
        <v>20.56</v>
      </c>
      <c r="F199" s="11">
        <f>14/8</f>
        <v>1.75</v>
      </c>
    </row>
    <row r="200" spans="1:6">
      <c r="A200" t="s">
        <v>89</v>
      </c>
      <c r="B200" t="s">
        <v>86</v>
      </c>
      <c r="C200" t="s">
        <v>82</v>
      </c>
      <c r="D200">
        <v>243.3</v>
      </c>
      <c r="E200">
        <v>16.32</v>
      </c>
      <c r="F200" s="10">
        <v>1.5</v>
      </c>
    </row>
    <row r="201" spans="1:6">
      <c r="A201" s="5" t="s">
        <v>543</v>
      </c>
      <c r="B201" s="5" t="s">
        <v>539</v>
      </c>
      <c r="C201" s="5" t="s">
        <v>41</v>
      </c>
      <c r="D201" s="5">
        <v>285</v>
      </c>
      <c r="E201" s="5">
        <v>18.98</v>
      </c>
      <c r="F201" s="9">
        <f>17/7</f>
        <v>2.4285714285714284</v>
      </c>
    </row>
    <row r="202" spans="1:6">
      <c r="A202" t="s">
        <v>48</v>
      </c>
      <c r="B202" t="s">
        <v>42</v>
      </c>
      <c r="C202" t="s">
        <v>47</v>
      </c>
      <c r="D202">
        <v>299.5</v>
      </c>
      <c r="E202">
        <v>20.76</v>
      </c>
      <c r="F202" s="10">
        <f>26/11</f>
        <v>2.3636363636363638</v>
      </c>
    </row>
    <row r="203" spans="1:6">
      <c r="A203" s="2" t="s">
        <v>49</v>
      </c>
      <c r="B203" s="2" t="s">
        <v>42</v>
      </c>
      <c r="C203" s="2" t="s">
        <v>47</v>
      </c>
      <c r="D203" s="2">
        <v>344</v>
      </c>
      <c r="E203" s="2">
        <v>20.27</v>
      </c>
      <c r="F203" s="11">
        <v>3.1</v>
      </c>
    </row>
    <row r="204" spans="1:6">
      <c r="A204" t="s">
        <v>154</v>
      </c>
      <c r="B204" t="s">
        <v>153</v>
      </c>
      <c r="C204" t="s">
        <v>152</v>
      </c>
      <c r="D204">
        <v>253.5</v>
      </c>
      <c r="E204">
        <v>17.170000000000002</v>
      </c>
      <c r="F204" s="10">
        <v>2.1</v>
      </c>
    </row>
    <row r="205" spans="1:6">
      <c r="A205" s="2" t="s">
        <v>45</v>
      </c>
      <c r="B205" t="s">
        <v>33</v>
      </c>
      <c r="C205" t="s">
        <v>41</v>
      </c>
      <c r="D205">
        <v>293.8</v>
      </c>
      <c r="E205">
        <v>16.920000000000002</v>
      </c>
      <c r="F205" s="10">
        <f>24/8</f>
        <v>3</v>
      </c>
    </row>
    <row r="206" spans="1:6">
      <c r="A206" t="s">
        <v>45</v>
      </c>
      <c r="B206" t="s">
        <v>49</v>
      </c>
      <c r="C206" t="s">
        <v>152</v>
      </c>
      <c r="D206">
        <v>346.9</v>
      </c>
      <c r="E206">
        <v>18.27</v>
      </c>
      <c r="F206" s="10">
        <v>2</v>
      </c>
    </row>
    <row r="207" spans="1:6">
      <c r="A207" s="2" t="s">
        <v>87</v>
      </c>
      <c r="B207" s="2" t="s">
        <v>392</v>
      </c>
      <c r="C207" s="2" t="s">
        <v>382</v>
      </c>
      <c r="D207" s="2">
        <v>414.2</v>
      </c>
      <c r="E207" s="2">
        <v>24</v>
      </c>
      <c r="F207" s="11" t="s">
        <v>78</v>
      </c>
    </row>
    <row r="208" spans="1:6">
      <c r="A208" s="2" t="s">
        <v>87</v>
      </c>
      <c r="B208" s="2" t="s">
        <v>337</v>
      </c>
      <c r="C208" s="2" t="s">
        <v>337</v>
      </c>
      <c r="D208" s="2">
        <f>((595*5)+(253*5))/10</f>
        <v>424</v>
      </c>
      <c r="E208" s="2">
        <f>((2155+920)/(86+39))</f>
        <v>24.6</v>
      </c>
      <c r="F208" s="11" t="s">
        <v>78</v>
      </c>
    </row>
    <row r="209" spans="1:6">
      <c r="A209" t="s">
        <v>87</v>
      </c>
      <c r="B209" t="s">
        <v>86</v>
      </c>
      <c r="C209" t="s">
        <v>82</v>
      </c>
      <c r="D209">
        <v>562</v>
      </c>
      <c r="E209">
        <v>25.13</v>
      </c>
      <c r="F209" s="10">
        <v>8.4</v>
      </c>
    </row>
    <row r="210" spans="1:6">
      <c r="A210" t="s">
        <v>87</v>
      </c>
      <c r="B210" t="s">
        <v>288</v>
      </c>
      <c r="C210" t="s">
        <v>41</v>
      </c>
      <c r="D210">
        <v>475.4</v>
      </c>
      <c r="E210">
        <v>22.18</v>
      </c>
      <c r="F210" s="10">
        <v>6</v>
      </c>
    </row>
    <row r="211" spans="1:6">
      <c r="A211" t="s">
        <v>72</v>
      </c>
      <c r="B211" t="s">
        <v>392</v>
      </c>
      <c r="C211" t="s">
        <v>382</v>
      </c>
      <c r="D211">
        <v>229</v>
      </c>
      <c r="E211">
        <v>19.2</v>
      </c>
      <c r="F211" s="10" t="s">
        <v>78</v>
      </c>
    </row>
    <row r="212" spans="1:6">
      <c r="A212" s="2" t="s">
        <v>72</v>
      </c>
      <c r="B212" s="2" t="s">
        <v>337</v>
      </c>
      <c r="C212" s="2" t="s">
        <v>337</v>
      </c>
      <c r="D212" s="2">
        <f>((351*5)+(221*5))/10</f>
        <v>286</v>
      </c>
      <c r="E212" s="2">
        <f>((1190+710)/(60+44))</f>
        <v>18.26923076923077</v>
      </c>
      <c r="F212" s="11" t="s">
        <v>78</v>
      </c>
    </row>
    <row r="213" spans="1:6">
      <c r="A213" t="s">
        <v>72</v>
      </c>
      <c r="B213" t="s">
        <v>86</v>
      </c>
      <c r="C213" t="s">
        <v>82</v>
      </c>
      <c r="D213">
        <v>344</v>
      </c>
      <c r="E213">
        <v>19.66</v>
      </c>
      <c r="F213" s="10">
        <f>16/6</f>
        <v>2.6666666666666665</v>
      </c>
    </row>
    <row r="214" spans="1:6">
      <c r="A214" t="s">
        <v>72</v>
      </c>
      <c r="B214" t="s">
        <v>288</v>
      </c>
      <c r="C214" t="s">
        <v>41</v>
      </c>
      <c r="D214">
        <v>315.5</v>
      </c>
      <c r="E214">
        <v>18.510000000000002</v>
      </c>
      <c r="F214" s="10">
        <f>29/12</f>
        <v>2.4166666666666665</v>
      </c>
    </row>
    <row r="215" spans="1:6">
      <c r="A215" t="s">
        <v>72</v>
      </c>
      <c r="B215" t="s">
        <v>65</v>
      </c>
      <c r="C215" t="s">
        <v>47</v>
      </c>
      <c r="D215">
        <v>464.5</v>
      </c>
      <c r="E215">
        <v>24.38</v>
      </c>
      <c r="F215" s="10">
        <v>6</v>
      </c>
    </row>
    <row r="216" spans="1:6">
      <c r="A216" t="s">
        <v>68</v>
      </c>
      <c r="B216" t="s">
        <v>65</v>
      </c>
      <c r="C216" t="s">
        <v>47</v>
      </c>
      <c r="D216">
        <v>333.1</v>
      </c>
      <c r="E216">
        <v>21.33</v>
      </c>
      <c r="F216" s="10">
        <v>4</v>
      </c>
    </row>
    <row r="217" spans="1:6">
      <c r="A217" s="5" t="s">
        <v>335</v>
      </c>
      <c r="B217" t="s">
        <v>510</v>
      </c>
      <c r="C217" s="2" t="s">
        <v>152</v>
      </c>
      <c r="D217" s="2">
        <v>423.9</v>
      </c>
      <c r="E217" t="s">
        <v>78</v>
      </c>
      <c r="F217" s="10">
        <f>38/9</f>
        <v>4.2222222222222223</v>
      </c>
    </row>
    <row r="218" spans="1:6">
      <c r="A218" t="s">
        <v>335</v>
      </c>
      <c r="B218" t="s">
        <v>324</v>
      </c>
      <c r="C218" t="s">
        <v>74</v>
      </c>
      <c r="D218">
        <v>475</v>
      </c>
      <c r="E218">
        <v>24.69</v>
      </c>
      <c r="F218" s="10">
        <v>8.1999999999999993</v>
      </c>
    </row>
    <row r="219" spans="1:6">
      <c r="A219" t="s">
        <v>335</v>
      </c>
      <c r="B219" t="s">
        <v>1055</v>
      </c>
      <c r="C219" t="s">
        <v>337</v>
      </c>
      <c r="D219">
        <v>350</v>
      </c>
      <c r="E219">
        <v>22.03</v>
      </c>
      <c r="F219" s="10" t="s">
        <v>78</v>
      </c>
    </row>
    <row r="220" spans="1:6">
      <c r="A220" t="s">
        <v>335</v>
      </c>
      <c r="B220" t="s">
        <v>1074</v>
      </c>
      <c r="C220" t="s">
        <v>1038</v>
      </c>
      <c r="D220">
        <v>324.39999999999998</v>
      </c>
      <c r="E220">
        <v>22.47</v>
      </c>
      <c r="F220" s="10" t="s">
        <v>78</v>
      </c>
    </row>
    <row r="221" spans="1:6">
      <c r="A221" s="5" t="s">
        <v>328</v>
      </c>
      <c r="B221" t="s">
        <v>510</v>
      </c>
      <c r="C221" s="2" t="s">
        <v>152</v>
      </c>
      <c r="D221" s="2">
        <v>288.8</v>
      </c>
      <c r="E221" t="s">
        <v>78</v>
      </c>
      <c r="F221" s="10">
        <f>22/8</f>
        <v>2.75</v>
      </c>
    </row>
    <row r="222" spans="1:6">
      <c r="A222" t="s">
        <v>328</v>
      </c>
      <c r="B222" t="s">
        <v>324</v>
      </c>
      <c r="C222" t="s">
        <v>74</v>
      </c>
      <c r="D222">
        <v>226.5</v>
      </c>
      <c r="E222">
        <v>18.079999999999998</v>
      </c>
      <c r="F222" s="10">
        <v>4.3</v>
      </c>
    </row>
    <row r="223" spans="1:6">
      <c r="A223" t="s">
        <v>385</v>
      </c>
      <c r="B223" t="s">
        <v>384</v>
      </c>
      <c r="C223" t="s">
        <v>176</v>
      </c>
      <c r="D223">
        <v>291.5</v>
      </c>
      <c r="E223">
        <v>18.04</v>
      </c>
      <c r="F223" s="10">
        <v>3.7</v>
      </c>
    </row>
    <row r="224" spans="1:6">
      <c r="A224" t="s">
        <v>386</v>
      </c>
      <c r="B224" t="s">
        <v>384</v>
      </c>
      <c r="C224" t="s">
        <v>176</v>
      </c>
      <c r="D224">
        <v>282.5</v>
      </c>
      <c r="E224">
        <v>17.48</v>
      </c>
      <c r="F224" s="10">
        <v>2.2999999999999998</v>
      </c>
    </row>
    <row r="225" spans="1:6">
      <c r="A225" s="2" t="s">
        <v>823</v>
      </c>
      <c r="B225" s="2" t="s">
        <v>1021</v>
      </c>
      <c r="C225" s="2" t="s">
        <v>74</v>
      </c>
      <c r="D225" s="2">
        <v>436.7</v>
      </c>
      <c r="E225" s="2">
        <f>(2790/4690)*30</f>
        <v>17.846481876332621</v>
      </c>
      <c r="F225" s="11">
        <f>51/12</f>
        <v>4.25</v>
      </c>
    </row>
    <row r="226" spans="1:6">
      <c r="A226" t="s">
        <v>144</v>
      </c>
      <c r="B226" t="s">
        <v>84</v>
      </c>
      <c r="C226" t="s">
        <v>74</v>
      </c>
      <c r="D226">
        <v>522.20000000000005</v>
      </c>
      <c r="E226">
        <v>23.25</v>
      </c>
      <c r="F226" s="10">
        <f>74/9</f>
        <v>8.2222222222222214</v>
      </c>
    </row>
    <row r="227" spans="1:6">
      <c r="A227" s="2" t="s">
        <v>1016</v>
      </c>
      <c r="B227" s="2" t="s">
        <v>1015</v>
      </c>
      <c r="C227" s="2" t="s">
        <v>176</v>
      </c>
      <c r="D227" s="2">
        <v>275</v>
      </c>
      <c r="E227" s="2">
        <v>16.350000000000001</v>
      </c>
      <c r="F227" s="11">
        <f>6/7</f>
        <v>0.8571428571428571</v>
      </c>
    </row>
    <row r="228" spans="1:6">
      <c r="A228" t="s">
        <v>330</v>
      </c>
      <c r="B228" t="s">
        <v>324</v>
      </c>
      <c r="C228" t="s">
        <v>74</v>
      </c>
      <c r="D228">
        <v>243</v>
      </c>
      <c r="E228">
        <v>16.59</v>
      </c>
      <c r="F228" s="10">
        <v>2.6</v>
      </c>
    </row>
    <row r="229" spans="1:6">
      <c r="A229" s="2" t="s">
        <v>1039</v>
      </c>
      <c r="B229" s="2" t="s">
        <v>1038</v>
      </c>
      <c r="C229" s="2" t="s">
        <v>1038</v>
      </c>
      <c r="D229" s="2">
        <v>351.8</v>
      </c>
      <c r="E229" s="2">
        <v>18.97</v>
      </c>
      <c r="F229" s="11" t="s">
        <v>78</v>
      </c>
    </row>
    <row r="230" spans="1:6">
      <c r="A230" s="2" t="s">
        <v>73</v>
      </c>
      <c r="B230" s="2" t="s">
        <v>241</v>
      </c>
      <c r="C230" s="2" t="s">
        <v>176</v>
      </c>
      <c r="D230" s="2">
        <v>475</v>
      </c>
      <c r="E230" s="2">
        <v>24.1</v>
      </c>
      <c r="F230" s="11">
        <v>6.9</v>
      </c>
    </row>
    <row r="231" spans="1:6">
      <c r="A231" s="2" t="s">
        <v>73</v>
      </c>
      <c r="B231" s="2" t="s">
        <v>337</v>
      </c>
      <c r="C231" s="2" t="s">
        <v>337</v>
      </c>
      <c r="D231" s="2">
        <f>((380*5)+(303*5))/10</f>
        <v>341.5</v>
      </c>
      <c r="E231" s="2">
        <f>((1340+1020)/(62+53))</f>
        <v>20.521739130434781</v>
      </c>
      <c r="F231" s="11" t="s">
        <v>78</v>
      </c>
    </row>
    <row r="232" spans="1:6">
      <c r="A232" t="s">
        <v>73</v>
      </c>
      <c r="B232" t="s">
        <v>288</v>
      </c>
      <c r="C232" t="s">
        <v>41</v>
      </c>
      <c r="D232">
        <v>400.4</v>
      </c>
      <c r="E232">
        <v>20.39</v>
      </c>
      <c r="F232" s="10">
        <f>41/12</f>
        <v>3.4166666666666665</v>
      </c>
    </row>
    <row r="233" spans="1:6">
      <c r="A233" t="s">
        <v>73</v>
      </c>
      <c r="B233" t="s">
        <v>65</v>
      </c>
      <c r="C233" t="s">
        <v>47</v>
      </c>
      <c r="D233">
        <v>465.6</v>
      </c>
      <c r="E233">
        <v>23.63</v>
      </c>
      <c r="F233" s="10">
        <f>67/9</f>
        <v>7.4444444444444446</v>
      </c>
    </row>
    <row r="234" spans="1:6">
      <c r="A234" t="s">
        <v>73</v>
      </c>
      <c r="B234" t="s">
        <v>441</v>
      </c>
      <c r="C234" t="s">
        <v>1061</v>
      </c>
      <c r="D234">
        <v>399.5</v>
      </c>
      <c r="E234">
        <v>19.55</v>
      </c>
      <c r="F234" s="10">
        <f>43/11</f>
        <v>3.9090909090909092</v>
      </c>
    </row>
    <row r="235" spans="1:6">
      <c r="A235" t="s">
        <v>410</v>
      </c>
      <c r="B235" t="s">
        <v>407</v>
      </c>
      <c r="C235" t="s">
        <v>382</v>
      </c>
      <c r="D235">
        <v>224.5</v>
      </c>
      <c r="E235">
        <v>14.58</v>
      </c>
      <c r="F235" s="10" t="s">
        <v>78</v>
      </c>
    </row>
    <row r="236" spans="1:6">
      <c r="A236" s="2" t="s">
        <v>534</v>
      </c>
      <c r="B236" s="2" t="s">
        <v>530</v>
      </c>
      <c r="C236" s="2" t="s">
        <v>176</v>
      </c>
      <c r="D236" s="2">
        <v>232.9</v>
      </c>
      <c r="E236" s="2">
        <v>18.71</v>
      </c>
      <c r="F236" s="11">
        <f>4/7</f>
        <v>0.5714285714285714</v>
      </c>
    </row>
    <row r="237" spans="1:6">
      <c r="A237" t="s">
        <v>389</v>
      </c>
      <c r="B237" t="s">
        <v>388</v>
      </c>
      <c r="C237" t="s">
        <v>41</v>
      </c>
      <c r="D237">
        <v>230.5</v>
      </c>
      <c r="E237">
        <v>16.93</v>
      </c>
      <c r="F237" s="10">
        <f>12/11</f>
        <v>1.0909090909090908</v>
      </c>
    </row>
    <row r="238" spans="1:6">
      <c r="A238" t="s">
        <v>387</v>
      </c>
      <c r="B238" t="s">
        <v>388</v>
      </c>
      <c r="C238" t="s">
        <v>41</v>
      </c>
      <c r="D238">
        <v>273.60000000000002</v>
      </c>
      <c r="E238">
        <v>16.46</v>
      </c>
      <c r="F238" s="10">
        <f>18/11</f>
        <v>1.6363636363636365</v>
      </c>
    </row>
    <row r="239" spans="1:6">
      <c r="A239" t="s">
        <v>100</v>
      </c>
      <c r="B239" t="s">
        <v>97</v>
      </c>
      <c r="C239" t="s">
        <v>41</v>
      </c>
      <c r="D239">
        <v>360.56</v>
      </c>
      <c r="E239">
        <v>20.29</v>
      </c>
      <c r="F239" s="10">
        <f>38/9</f>
        <v>4.2222222222222223</v>
      </c>
    </row>
    <row r="240" spans="1:6">
      <c r="A240" s="2" t="s">
        <v>375</v>
      </c>
      <c r="B240" s="2" t="s">
        <v>417</v>
      </c>
      <c r="C240" s="2" t="s">
        <v>152</v>
      </c>
      <c r="D240" s="2">
        <v>331.5</v>
      </c>
      <c r="E240" s="2">
        <v>19.72</v>
      </c>
      <c r="F240" s="11">
        <f>33/13</f>
        <v>2.5384615384615383</v>
      </c>
    </row>
    <row r="241" spans="1:6">
      <c r="A241" t="s">
        <v>375</v>
      </c>
      <c r="B241" t="s">
        <v>373</v>
      </c>
      <c r="C241" t="s">
        <v>337</v>
      </c>
      <c r="D241">
        <v>368.5</v>
      </c>
      <c r="E241">
        <v>19.57</v>
      </c>
      <c r="F241" s="10" t="s">
        <v>78</v>
      </c>
    </row>
    <row r="242" spans="1:6">
      <c r="A242" s="2" t="s">
        <v>376</v>
      </c>
      <c r="B242" s="2" t="s">
        <v>417</v>
      </c>
      <c r="C242" s="2" t="s">
        <v>152</v>
      </c>
      <c r="D242" s="2">
        <v>331.2</v>
      </c>
      <c r="E242" s="2">
        <v>17.68</v>
      </c>
      <c r="F242" s="11">
        <f>37/13</f>
        <v>2.8461538461538463</v>
      </c>
    </row>
    <row r="243" spans="1:6">
      <c r="A243" t="s">
        <v>376</v>
      </c>
      <c r="B243" t="s">
        <v>373</v>
      </c>
      <c r="C243" t="s">
        <v>337</v>
      </c>
      <c r="D243">
        <v>231.7</v>
      </c>
      <c r="E243">
        <v>15.18</v>
      </c>
      <c r="F243" s="10" t="s">
        <v>78</v>
      </c>
    </row>
    <row r="244" spans="1:6">
      <c r="A244" s="2" t="s">
        <v>148</v>
      </c>
      <c r="B244" t="s">
        <v>132</v>
      </c>
      <c r="C244" t="s">
        <v>41</v>
      </c>
      <c r="D244">
        <v>426.5</v>
      </c>
      <c r="E244">
        <v>18.3</v>
      </c>
      <c r="F244" s="10">
        <v>3.8</v>
      </c>
    </row>
    <row r="245" spans="1:6">
      <c r="A245" s="2" t="s">
        <v>1024</v>
      </c>
      <c r="B245" s="2" t="s">
        <v>1021</v>
      </c>
      <c r="C245" s="2" t="s">
        <v>74</v>
      </c>
      <c r="D245" s="2">
        <v>577.5</v>
      </c>
      <c r="E245" s="2">
        <f>(3870/4980)*30</f>
        <v>23.313253012048193</v>
      </c>
      <c r="F245" s="11">
        <f>94/12</f>
        <v>7.833333333333333</v>
      </c>
    </row>
    <row r="246" spans="1:6">
      <c r="A246" s="2" t="s">
        <v>1023</v>
      </c>
      <c r="B246" s="2" t="s">
        <v>1021</v>
      </c>
      <c r="C246" s="2" t="s">
        <v>74</v>
      </c>
      <c r="D246" s="2">
        <v>328.3</v>
      </c>
      <c r="E246" s="2">
        <f>(2000/3240)*30</f>
        <v>18.518518518518519</v>
      </c>
      <c r="F246" s="11">
        <f>37/12</f>
        <v>3.0833333333333335</v>
      </c>
    </row>
    <row r="247" spans="1:6">
      <c r="A247" s="5" t="s">
        <v>508</v>
      </c>
      <c r="B247" t="s">
        <v>510</v>
      </c>
      <c r="C247" s="2" t="s">
        <v>152</v>
      </c>
      <c r="D247" s="2">
        <v>252.5</v>
      </c>
      <c r="E247" t="s">
        <v>78</v>
      </c>
      <c r="F247" s="10">
        <v>2</v>
      </c>
    </row>
    <row r="248" spans="1:6">
      <c r="A248" s="2" t="s">
        <v>50</v>
      </c>
      <c r="B248" s="2" t="s">
        <v>42</v>
      </c>
      <c r="C248" s="2" t="s">
        <v>47</v>
      </c>
      <c r="D248" s="2">
        <v>337.2</v>
      </c>
      <c r="E248" s="2">
        <v>20.2</v>
      </c>
      <c r="F248" s="11">
        <f>24/9</f>
        <v>2.6666666666666665</v>
      </c>
    </row>
    <row r="249" spans="1:6">
      <c r="A249" t="s">
        <v>393</v>
      </c>
      <c r="B249" t="s">
        <v>392</v>
      </c>
      <c r="C249" t="s">
        <v>382</v>
      </c>
      <c r="D249">
        <v>462.5</v>
      </c>
      <c r="E249">
        <v>25.97</v>
      </c>
      <c r="F249" s="10" t="s">
        <v>78</v>
      </c>
    </row>
    <row r="250" spans="1:6">
      <c r="A250" s="2" t="s">
        <v>393</v>
      </c>
      <c r="B250" s="2" t="s">
        <v>337</v>
      </c>
      <c r="C250" s="2" t="s">
        <v>337</v>
      </c>
      <c r="D250" s="2">
        <f>((607*5)+(424*5))/10</f>
        <v>515.5</v>
      </c>
      <c r="E250" s="2">
        <f>((2230+1580)/(85+60))</f>
        <v>26.275862068965516</v>
      </c>
      <c r="F250" s="11" t="s">
        <v>78</v>
      </c>
    </row>
    <row r="251" spans="1:6">
      <c r="A251" s="2" t="s">
        <v>393</v>
      </c>
      <c r="B251" s="2" t="s">
        <v>1025</v>
      </c>
      <c r="C251" s="2" t="s">
        <v>152</v>
      </c>
      <c r="D251" s="2">
        <v>489</v>
      </c>
      <c r="E251" s="2">
        <v>22.45</v>
      </c>
      <c r="F251" s="11">
        <v>8.3000000000000007</v>
      </c>
    </row>
    <row r="252" spans="1:6">
      <c r="A252" t="s">
        <v>121</v>
      </c>
      <c r="B252" t="s">
        <v>392</v>
      </c>
      <c r="C252" t="s">
        <v>382</v>
      </c>
      <c r="D252">
        <v>322.5</v>
      </c>
      <c r="E252">
        <v>21.12</v>
      </c>
      <c r="F252" s="10" t="s">
        <v>78</v>
      </c>
    </row>
    <row r="253" spans="1:6">
      <c r="A253" s="2" t="s">
        <v>121</v>
      </c>
      <c r="B253" s="2" t="s">
        <v>337</v>
      </c>
      <c r="C253" s="2" t="s">
        <v>337</v>
      </c>
      <c r="D253" s="2">
        <f>((389*5)+(327*5))/10</f>
        <v>358</v>
      </c>
      <c r="E253" s="2">
        <f>((1360+1060)/(64+62))</f>
        <v>19.206349206349206</v>
      </c>
      <c r="F253" s="11" t="s">
        <v>78</v>
      </c>
    </row>
    <row r="254" spans="1:6">
      <c r="A254" s="2" t="s">
        <v>121</v>
      </c>
      <c r="B254" s="2" t="s">
        <v>1025</v>
      </c>
      <c r="C254" s="2" t="s">
        <v>152</v>
      </c>
      <c r="D254" s="2">
        <v>346.4</v>
      </c>
      <c r="E254" s="2">
        <v>16.57</v>
      </c>
      <c r="F254" s="11">
        <v>3</v>
      </c>
    </row>
    <row r="255" spans="1:6">
      <c r="A255" t="s">
        <v>121</v>
      </c>
      <c r="B255" t="s">
        <v>120</v>
      </c>
      <c r="C255" t="s">
        <v>41</v>
      </c>
      <c r="D255">
        <v>352</v>
      </c>
      <c r="E255">
        <v>18.38</v>
      </c>
      <c r="F255" s="10">
        <v>3.6</v>
      </c>
    </row>
    <row r="256" spans="1:6">
      <c r="A256" t="s">
        <v>394</v>
      </c>
      <c r="B256" t="s">
        <v>392</v>
      </c>
      <c r="C256" t="s">
        <v>382</v>
      </c>
      <c r="D256">
        <v>249</v>
      </c>
      <c r="E256">
        <v>18.329999999999998</v>
      </c>
      <c r="F256" s="10" t="s">
        <v>78</v>
      </c>
    </row>
    <row r="257" spans="1:6">
      <c r="A257" s="2" t="s">
        <v>394</v>
      </c>
      <c r="B257" s="2" t="s">
        <v>337</v>
      </c>
      <c r="C257" s="2" t="s">
        <v>337</v>
      </c>
      <c r="D257" s="2">
        <f>((297*5)+(275*5))/10</f>
        <v>286</v>
      </c>
      <c r="E257" s="2">
        <f>((950+705)/(58+42))</f>
        <v>16.55</v>
      </c>
      <c r="F257" s="11" t="s">
        <v>78</v>
      </c>
    </row>
    <row r="258" spans="1:6">
      <c r="A258" s="2" t="s">
        <v>394</v>
      </c>
      <c r="B258" s="2" t="s">
        <v>1025</v>
      </c>
      <c r="C258" s="2" t="s">
        <v>152</v>
      </c>
      <c r="D258" s="2">
        <v>406.2</v>
      </c>
      <c r="E258" s="2">
        <v>21.27</v>
      </c>
      <c r="F258" s="11">
        <f>31/8</f>
        <v>3.875</v>
      </c>
    </row>
    <row r="259" spans="1:6">
      <c r="A259" t="s">
        <v>395</v>
      </c>
      <c r="B259" t="s">
        <v>392</v>
      </c>
      <c r="C259" t="s">
        <v>382</v>
      </c>
      <c r="D259">
        <v>195</v>
      </c>
      <c r="E259">
        <v>16.28</v>
      </c>
      <c r="F259" s="10" t="s">
        <v>78</v>
      </c>
    </row>
    <row r="260" spans="1:6">
      <c r="A260" s="2" t="s">
        <v>395</v>
      </c>
      <c r="B260" s="2" t="s">
        <v>337</v>
      </c>
      <c r="C260" s="2" t="s">
        <v>337</v>
      </c>
      <c r="D260" s="2">
        <f>((357*5)+(316*5))/10</f>
        <v>336.5</v>
      </c>
      <c r="E260" s="2">
        <f>((1180+1010)/(64+60))</f>
        <v>17.661290322580644</v>
      </c>
      <c r="F260" s="11" t="s">
        <v>78</v>
      </c>
    </row>
    <row r="261" spans="1:6">
      <c r="A261" s="2" t="s">
        <v>395</v>
      </c>
      <c r="B261" s="2" t="s">
        <v>1025</v>
      </c>
      <c r="C261" s="2" t="s">
        <v>152</v>
      </c>
      <c r="D261" s="2">
        <v>406.1</v>
      </c>
      <c r="E261" s="2">
        <v>22.34</v>
      </c>
      <c r="F261" s="11">
        <f>31/9</f>
        <v>3.4444444444444446</v>
      </c>
    </row>
    <row r="262" spans="1:6">
      <c r="A262" s="5" t="s">
        <v>506</v>
      </c>
      <c r="B262" t="s">
        <v>510</v>
      </c>
      <c r="C262" s="2" t="s">
        <v>152</v>
      </c>
      <c r="D262" s="2">
        <v>313.8</v>
      </c>
      <c r="E262" t="s">
        <v>78</v>
      </c>
      <c r="F262" s="10">
        <f>13/8</f>
        <v>1.625</v>
      </c>
    </row>
    <row r="263" spans="1:6">
      <c r="A263" t="s">
        <v>1076</v>
      </c>
      <c r="B263" t="s">
        <v>1074</v>
      </c>
      <c r="C263" t="s">
        <v>1038</v>
      </c>
      <c r="D263">
        <v>232.8</v>
      </c>
      <c r="E263">
        <v>16.22</v>
      </c>
      <c r="F263" s="10" t="s">
        <v>78</v>
      </c>
    </row>
    <row r="264" spans="1:6">
      <c r="A264" t="s">
        <v>522</v>
      </c>
      <c r="B264" t="s">
        <v>214</v>
      </c>
      <c r="C264" s="2" t="s">
        <v>176</v>
      </c>
      <c r="D264" s="2">
        <v>281.2</v>
      </c>
      <c r="E264">
        <v>17.559999999999999</v>
      </c>
      <c r="F264" s="10">
        <v>1</v>
      </c>
    </row>
    <row r="265" spans="1:6">
      <c r="A265" t="s">
        <v>526</v>
      </c>
      <c r="B265" t="s">
        <v>214</v>
      </c>
      <c r="C265" s="2" t="s">
        <v>176</v>
      </c>
      <c r="D265">
        <v>296.2</v>
      </c>
      <c r="E265">
        <v>19.25</v>
      </c>
      <c r="F265" s="10">
        <v>0.8</v>
      </c>
    </row>
    <row r="266" spans="1:6">
      <c r="A266" s="5" t="s">
        <v>505</v>
      </c>
      <c r="B266" t="s">
        <v>510</v>
      </c>
      <c r="C266" s="2" t="s">
        <v>152</v>
      </c>
      <c r="D266" s="2">
        <v>293.8</v>
      </c>
      <c r="E266" t="s">
        <v>78</v>
      </c>
      <c r="F266" s="10">
        <f>21/8</f>
        <v>2.625</v>
      </c>
    </row>
    <row r="267" spans="1:6">
      <c r="A267" t="s">
        <v>505</v>
      </c>
      <c r="B267" t="s">
        <v>1074</v>
      </c>
      <c r="C267" t="s">
        <v>1038</v>
      </c>
      <c r="D267">
        <v>233.3</v>
      </c>
      <c r="E267">
        <v>17.059999999999999</v>
      </c>
      <c r="F267" s="10" t="s">
        <v>78</v>
      </c>
    </row>
    <row r="268" spans="1:6">
      <c r="A268" t="s">
        <v>521</v>
      </c>
      <c r="B268" t="s">
        <v>214</v>
      </c>
      <c r="C268" s="2" t="s">
        <v>176</v>
      </c>
      <c r="D268" s="2">
        <v>292.5</v>
      </c>
      <c r="E268">
        <v>20.38</v>
      </c>
      <c r="F268" s="10">
        <v>1</v>
      </c>
    </row>
    <row r="269" spans="1:6">
      <c r="A269" t="s">
        <v>75</v>
      </c>
      <c r="B269" t="s">
        <v>14</v>
      </c>
      <c r="C269" t="s">
        <v>74</v>
      </c>
      <c r="D269">
        <v>365.7</v>
      </c>
      <c r="E269">
        <v>15.96</v>
      </c>
      <c r="F269" s="10">
        <f>24/7</f>
        <v>3.4285714285714284</v>
      </c>
    </row>
    <row r="270" spans="1:6">
      <c r="A270" s="2" t="s">
        <v>396</v>
      </c>
      <c r="B270" s="2" t="s">
        <v>397</v>
      </c>
      <c r="C270" s="2" t="s">
        <v>47</v>
      </c>
      <c r="D270" s="2">
        <v>597</v>
      </c>
      <c r="E270" s="2">
        <v>25.19</v>
      </c>
      <c r="F270" s="11">
        <v>8.1999999999999993</v>
      </c>
    </row>
    <row r="271" spans="1:6">
      <c r="A271" s="5" t="s">
        <v>1019</v>
      </c>
      <c r="B271" s="5" t="s">
        <v>546</v>
      </c>
      <c r="C271" t="s">
        <v>152</v>
      </c>
      <c r="D271">
        <v>415.5</v>
      </c>
      <c r="E271">
        <v>19.350000000000001</v>
      </c>
      <c r="F271" s="10">
        <v>3.8</v>
      </c>
    </row>
    <row r="272" spans="1:6">
      <c r="A272" t="s">
        <v>398</v>
      </c>
      <c r="B272" t="s">
        <v>397</v>
      </c>
      <c r="C272" t="s">
        <v>47</v>
      </c>
      <c r="D272">
        <v>510</v>
      </c>
      <c r="E272">
        <v>22.37</v>
      </c>
      <c r="F272" s="10">
        <v>5.6</v>
      </c>
    </row>
    <row r="273" spans="1:6">
      <c r="A273" s="5" t="s">
        <v>1020</v>
      </c>
      <c r="B273" s="5" t="s">
        <v>546</v>
      </c>
      <c r="C273" t="s">
        <v>152</v>
      </c>
      <c r="D273">
        <v>190</v>
      </c>
      <c r="E273">
        <v>13.37</v>
      </c>
      <c r="F273" s="10">
        <v>1.5</v>
      </c>
    </row>
    <row r="274" spans="1:6">
      <c r="A274" t="s">
        <v>315</v>
      </c>
      <c r="B274" t="s">
        <v>316</v>
      </c>
      <c r="C274" t="s">
        <v>296</v>
      </c>
      <c r="D274">
        <v>340.8</v>
      </c>
      <c r="E274">
        <v>20.329999999999998</v>
      </c>
      <c r="F274" s="10" t="s">
        <v>78</v>
      </c>
    </row>
    <row r="275" spans="1:6">
      <c r="A275" t="s">
        <v>315</v>
      </c>
      <c r="B275" t="s">
        <v>324</v>
      </c>
      <c r="C275" t="s">
        <v>74</v>
      </c>
      <c r="D275">
        <v>364.5</v>
      </c>
      <c r="E275">
        <v>22.13</v>
      </c>
      <c r="F275" s="10">
        <v>4.4000000000000004</v>
      </c>
    </row>
    <row r="276" spans="1:6">
      <c r="A276" t="s">
        <v>315</v>
      </c>
      <c r="B276" t="s">
        <v>1055</v>
      </c>
      <c r="C276" t="s">
        <v>337</v>
      </c>
      <c r="D276">
        <v>287.3</v>
      </c>
      <c r="E276">
        <v>20.65</v>
      </c>
      <c r="F276" s="10" t="s">
        <v>78</v>
      </c>
    </row>
    <row r="277" spans="1:6">
      <c r="A277" t="s">
        <v>315</v>
      </c>
      <c r="B277" t="s">
        <v>1074</v>
      </c>
      <c r="C277" t="s">
        <v>1038</v>
      </c>
      <c r="D277">
        <v>292.2</v>
      </c>
      <c r="E277">
        <v>20.11</v>
      </c>
      <c r="F277" s="10" t="s">
        <v>78</v>
      </c>
    </row>
    <row r="278" spans="1:6">
      <c r="A278" s="2" t="s">
        <v>290</v>
      </c>
      <c r="B278" t="s">
        <v>288</v>
      </c>
      <c r="C278" t="s">
        <v>41</v>
      </c>
      <c r="D278">
        <v>253</v>
      </c>
      <c r="E278">
        <v>18.3</v>
      </c>
      <c r="F278" s="10">
        <v>2.2999999999999998</v>
      </c>
    </row>
    <row r="279" spans="1:6">
      <c r="A279" t="s">
        <v>309</v>
      </c>
      <c r="B279" t="s">
        <v>302</v>
      </c>
      <c r="C279" t="s">
        <v>176</v>
      </c>
      <c r="D279">
        <v>309.3</v>
      </c>
      <c r="E279">
        <v>20.36</v>
      </c>
      <c r="F279" s="10">
        <f>19/7</f>
        <v>2.7142857142857144</v>
      </c>
    </row>
    <row r="280" spans="1:6">
      <c r="A280" s="5" t="s">
        <v>179</v>
      </c>
      <c r="B280" t="s">
        <v>510</v>
      </c>
      <c r="C280" s="2" t="s">
        <v>152</v>
      </c>
      <c r="D280" s="2">
        <v>381.7</v>
      </c>
      <c r="E280" t="s">
        <v>78</v>
      </c>
      <c r="F280" s="10">
        <f>28/9</f>
        <v>3.1111111111111112</v>
      </c>
    </row>
    <row r="281" spans="1:6">
      <c r="A281" t="s">
        <v>179</v>
      </c>
      <c r="B281" t="s">
        <v>167</v>
      </c>
      <c r="C281" t="s">
        <v>82</v>
      </c>
      <c r="D281">
        <v>432</v>
      </c>
      <c r="E281">
        <v>23.12</v>
      </c>
      <c r="F281" s="10">
        <v>6.4</v>
      </c>
    </row>
    <row r="282" spans="1:6">
      <c r="A282" t="s">
        <v>179</v>
      </c>
      <c r="B282" t="s">
        <v>1055</v>
      </c>
      <c r="C282" t="s">
        <v>337</v>
      </c>
      <c r="D282">
        <v>348.6</v>
      </c>
      <c r="E282">
        <v>22.46</v>
      </c>
      <c r="F282" s="10" t="s">
        <v>78</v>
      </c>
    </row>
    <row r="283" spans="1:6">
      <c r="A283" t="s">
        <v>333</v>
      </c>
      <c r="B283" t="s">
        <v>324</v>
      </c>
      <c r="C283" t="s">
        <v>74</v>
      </c>
      <c r="D283">
        <v>410.5</v>
      </c>
      <c r="E283">
        <v>22.95</v>
      </c>
      <c r="F283" s="10">
        <v>8</v>
      </c>
    </row>
    <row r="284" spans="1:6">
      <c r="A284" t="s">
        <v>333</v>
      </c>
      <c r="B284" t="s">
        <v>1074</v>
      </c>
      <c r="C284" t="s">
        <v>1038</v>
      </c>
      <c r="D284">
        <v>336.7</v>
      </c>
      <c r="E284">
        <v>23.47</v>
      </c>
      <c r="F284" s="10" t="s">
        <v>78</v>
      </c>
    </row>
    <row r="285" spans="1:6">
      <c r="A285" t="s">
        <v>332</v>
      </c>
      <c r="B285" t="s">
        <v>324</v>
      </c>
      <c r="C285" t="s">
        <v>74</v>
      </c>
      <c r="D285">
        <v>221.5</v>
      </c>
      <c r="E285">
        <v>15.29</v>
      </c>
      <c r="F285" s="10">
        <v>2.7</v>
      </c>
    </row>
    <row r="286" spans="1:6">
      <c r="A286" t="s">
        <v>524</v>
      </c>
      <c r="B286" t="s">
        <v>214</v>
      </c>
      <c r="C286" s="2" t="s">
        <v>176</v>
      </c>
      <c r="D286" s="2">
        <v>413.8</v>
      </c>
      <c r="E286">
        <v>19.91</v>
      </c>
      <c r="F286" s="10">
        <v>2</v>
      </c>
    </row>
    <row r="287" spans="1:6">
      <c r="A287" t="s">
        <v>523</v>
      </c>
      <c r="B287" t="s">
        <v>214</v>
      </c>
      <c r="C287" s="2" t="s">
        <v>176</v>
      </c>
      <c r="D287" s="2">
        <v>357.5</v>
      </c>
      <c r="E287">
        <v>21.22</v>
      </c>
      <c r="F287" s="10">
        <v>3.5</v>
      </c>
    </row>
    <row r="288" spans="1:6">
      <c r="A288" t="s">
        <v>525</v>
      </c>
      <c r="B288" t="s">
        <v>214</v>
      </c>
      <c r="C288" s="2" t="s">
        <v>176</v>
      </c>
      <c r="D288">
        <v>381.2</v>
      </c>
      <c r="E288">
        <v>20.2</v>
      </c>
      <c r="F288" s="10">
        <f>14/4</f>
        <v>3.5</v>
      </c>
    </row>
    <row r="289" spans="1:6">
      <c r="A289" t="s">
        <v>513</v>
      </c>
      <c r="B289" t="s">
        <v>512</v>
      </c>
      <c r="C289" s="2" t="s">
        <v>152</v>
      </c>
      <c r="D289" s="2">
        <v>306.7</v>
      </c>
      <c r="E289">
        <v>16.100000000000001</v>
      </c>
      <c r="F289" s="10">
        <f>16/9</f>
        <v>1.7777777777777777</v>
      </c>
    </row>
    <row r="290" spans="1:6">
      <c r="A290" t="s">
        <v>351</v>
      </c>
      <c r="B290" t="s">
        <v>402</v>
      </c>
      <c r="C290" t="s">
        <v>74</v>
      </c>
      <c r="D290">
        <v>630</v>
      </c>
      <c r="E290">
        <v>25.25</v>
      </c>
      <c r="F290" s="10">
        <v>12.4</v>
      </c>
    </row>
    <row r="291" spans="1:6">
      <c r="A291" t="s">
        <v>351</v>
      </c>
      <c r="B291" t="s">
        <v>348</v>
      </c>
      <c r="C291" t="s">
        <v>337</v>
      </c>
      <c r="D291">
        <f>((614*5)+(511.7*6))/11</f>
        <v>558.19999999999993</v>
      </c>
      <c r="E291">
        <f>((2260+2240)/(85+90))</f>
        <v>25.714285714285715</v>
      </c>
      <c r="F291" s="10" t="s">
        <v>78</v>
      </c>
    </row>
    <row r="292" spans="1:6">
      <c r="A292" t="s">
        <v>351</v>
      </c>
      <c r="B292" t="s">
        <v>404</v>
      </c>
      <c r="C292" t="s">
        <v>82</v>
      </c>
      <c r="D292">
        <v>623.5</v>
      </c>
      <c r="E292">
        <v>24.55</v>
      </c>
      <c r="F292" s="10">
        <v>11.3</v>
      </c>
    </row>
    <row r="293" spans="1:6">
      <c r="A293" t="s">
        <v>352</v>
      </c>
      <c r="B293" t="s">
        <v>402</v>
      </c>
      <c r="C293" t="s">
        <v>74</v>
      </c>
      <c r="D293">
        <v>335.6</v>
      </c>
      <c r="E293">
        <v>17.309999999999999</v>
      </c>
      <c r="F293" s="10">
        <f>32/9</f>
        <v>3.5555555555555554</v>
      </c>
    </row>
    <row r="294" spans="1:6">
      <c r="A294" t="s">
        <v>352</v>
      </c>
      <c r="B294" t="s">
        <v>348</v>
      </c>
      <c r="C294" t="s">
        <v>337</v>
      </c>
      <c r="D294">
        <f>((180*5)+(131*5))/10</f>
        <v>155.5</v>
      </c>
      <c r="E294">
        <f>((485+390)/(46+32))</f>
        <v>11.217948717948717</v>
      </c>
      <c r="F294" s="10" t="s">
        <v>78</v>
      </c>
    </row>
    <row r="295" spans="1:6">
      <c r="A295" t="s">
        <v>352</v>
      </c>
      <c r="B295" t="s">
        <v>404</v>
      </c>
      <c r="C295" t="s">
        <v>82</v>
      </c>
      <c r="D295">
        <v>217.5</v>
      </c>
      <c r="E295">
        <v>14.3</v>
      </c>
      <c r="F295" s="10">
        <v>2.8</v>
      </c>
    </row>
    <row r="296" spans="1:6">
      <c r="A296" t="s">
        <v>67</v>
      </c>
      <c r="B296" t="s">
        <v>86</v>
      </c>
      <c r="C296" t="s">
        <v>82</v>
      </c>
      <c r="D296">
        <v>247.5</v>
      </c>
      <c r="E296">
        <v>13.97</v>
      </c>
      <c r="F296" s="10">
        <v>1.5</v>
      </c>
    </row>
    <row r="297" spans="1:6">
      <c r="A297" t="s">
        <v>67</v>
      </c>
      <c r="B297" t="s">
        <v>65</v>
      </c>
      <c r="C297" t="s">
        <v>47</v>
      </c>
      <c r="D297">
        <v>348.5</v>
      </c>
      <c r="E297">
        <v>20.83</v>
      </c>
      <c r="F297" s="10">
        <v>4.0999999999999996</v>
      </c>
    </row>
    <row r="298" spans="1:6">
      <c r="A298" t="s">
        <v>339</v>
      </c>
      <c r="B298" t="s">
        <v>338</v>
      </c>
      <c r="C298" t="s">
        <v>337</v>
      </c>
      <c r="D298">
        <f>((198.3*6)+(80*2))/8</f>
        <v>168.72500000000002</v>
      </c>
      <c r="E298">
        <f>((600+70)/(59+9))</f>
        <v>9.8529411764705888</v>
      </c>
      <c r="F298" s="10" t="s">
        <v>78</v>
      </c>
    </row>
    <row r="299" spans="1:6">
      <c r="A299" s="2" t="s">
        <v>361</v>
      </c>
      <c r="B299" s="2" t="s">
        <v>356</v>
      </c>
      <c r="C299" s="2" t="s">
        <v>47</v>
      </c>
      <c r="D299" s="2">
        <v>154.4</v>
      </c>
      <c r="E299" s="2">
        <v>17.72</v>
      </c>
      <c r="F299" s="11">
        <f>9/8</f>
        <v>1.125</v>
      </c>
    </row>
    <row r="300" spans="1:6">
      <c r="A300" s="2" t="s">
        <v>363</v>
      </c>
      <c r="B300" s="2" t="s">
        <v>356</v>
      </c>
      <c r="C300" s="2" t="s">
        <v>47</v>
      </c>
      <c r="D300" s="2">
        <v>193.6</v>
      </c>
      <c r="E300" s="2">
        <v>17.649999999999999</v>
      </c>
      <c r="F300" s="11">
        <f>8/7</f>
        <v>1.1428571428571428</v>
      </c>
    </row>
    <row r="301" spans="1:6">
      <c r="A301" s="2" t="s">
        <v>1014</v>
      </c>
      <c r="B301" s="2" t="s">
        <v>1013</v>
      </c>
      <c r="C301" s="2" t="s">
        <v>41</v>
      </c>
      <c r="D301" s="2">
        <v>221.7</v>
      </c>
      <c r="E301" s="2">
        <v>12.56</v>
      </c>
      <c r="F301" s="11">
        <v>0.5</v>
      </c>
    </row>
    <row r="302" spans="1:6">
      <c r="A302" t="s">
        <v>401</v>
      </c>
      <c r="B302" t="s">
        <v>397</v>
      </c>
      <c r="C302" t="s">
        <v>47</v>
      </c>
      <c r="D302">
        <v>248.5</v>
      </c>
      <c r="E302">
        <v>18.05</v>
      </c>
      <c r="F302" s="10">
        <v>2.6</v>
      </c>
    </row>
    <row r="303" spans="1:6">
      <c r="A303" s="2" t="s">
        <v>1048</v>
      </c>
      <c r="B303" s="2" t="s">
        <v>1043</v>
      </c>
      <c r="C303" s="2" t="s">
        <v>176</v>
      </c>
      <c r="D303" s="2">
        <v>249.4</v>
      </c>
      <c r="E303" s="2">
        <v>18.97</v>
      </c>
      <c r="F303" s="11">
        <f>17/8</f>
        <v>2.125</v>
      </c>
    </row>
    <row r="304" spans="1:6">
      <c r="A304" s="2" t="s">
        <v>1048</v>
      </c>
      <c r="B304" s="2" t="s">
        <v>6</v>
      </c>
      <c r="C304" s="2" t="s">
        <v>1051</v>
      </c>
      <c r="D304" s="2">
        <v>240</v>
      </c>
      <c r="E304" s="2" t="s">
        <v>78</v>
      </c>
      <c r="F304" s="11" t="s">
        <v>78</v>
      </c>
    </row>
    <row r="305" spans="1:6">
      <c r="A305" t="s">
        <v>409</v>
      </c>
      <c r="B305" t="s">
        <v>407</v>
      </c>
      <c r="C305" t="s">
        <v>382</v>
      </c>
      <c r="D305">
        <v>269</v>
      </c>
      <c r="E305">
        <v>15.9</v>
      </c>
      <c r="F305" s="10" t="s">
        <v>78</v>
      </c>
    </row>
    <row r="306" spans="1:6">
      <c r="A306" s="2" t="s">
        <v>366</v>
      </c>
      <c r="B306" s="2" t="s">
        <v>356</v>
      </c>
      <c r="C306" s="2" t="s">
        <v>47</v>
      </c>
      <c r="D306" s="2">
        <v>252.9</v>
      </c>
      <c r="E306" s="2">
        <v>18.829999999999998</v>
      </c>
      <c r="F306" s="11">
        <f>13/7</f>
        <v>1.8571428571428572</v>
      </c>
    </row>
    <row r="307" spans="1:6">
      <c r="A307" s="2" t="s">
        <v>365</v>
      </c>
      <c r="B307" s="2" t="s">
        <v>356</v>
      </c>
      <c r="C307" t="s">
        <v>47</v>
      </c>
      <c r="D307">
        <v>161.4</v>
      </c>
      <c r="E307">
        <v>16.14</v>
      </c>
      <c r="F307" s="10">
        <f>6/7</f>
        <v>0.8571428571428571</v>
      </c>
    </row>
    <row r="308" spans="1:6">
      <c r="A308" s="2" t="s">
        <v>284</v>
      </c>
      <c r="B308" s="2" t="s">
        <v>215</v>
      </c>
      <c r="C308" s="2" t="s">
        <v>47</v>
      </c>
      <c r="D308" s="2">
        <f>2545/8</f>
        <v>318.125</v>
      </c>
      <c r="E308" s="2">
        <v>21.14</v>
      </c>
      <c r="F308" s="11">
        <f>20/8</f>
        <v>2.5</v>
      </c>
    </row>
    <row r="309" spans="1:6">
      <c r="A309" s="2" t="s">
        <v>358</v>
      </c>
      <c r="B309" s="2" t="s">
        <v>356</v>
      </c>
      <c r="C309" t="s">
        <v>47</v>
      </c>
      <c r="D309">
        <v>499.5</v>
      </c>
      <c r="E309">
        <v>24.13</v>
      </c>
      <c r="F309" s="10">
        <v>7.4</v>
      </c>
    </row>
    <row r="310" spans="1:6">
      <c r="A310" s="2" t="s">
        <v>364</v>
      </c>
      <c r="B310" s="2" t="s">
        <v>356</v>
      </c>
      <c r="C310" s="2" t="s">
        <v>47</v>
      </c>
      <c r="D310" s="2">
        <v>171.4</v>
      </c>
      <c r="E310" s="2">
        <v>14.38</v>
      </c>
      <c r="F310" s="11">
        <f>12/7</f>
        <v>1.7142857142857142</v>
      </c>
    </row>
    <row r="311" spans="1:6">
      <c r="A311" s="2" t="s">
        <v>277</v>
      </c>
      <c r="B311" s="2" t="s">
        <v>211</v>
      </c>
      <c r="C311" s="2" t="s">
        <v>74</v>
      </c>
      <c r="D311" s="2">
        <v>387.5</v>
      </c>
      <c r="E311" s="2">
        <v>21.47</v>
      </c>
      <c r="F311" s="11">
        <v>5.5</v>
      </c>
    </row>
    <row r="312" spans="1:6">
      <c r="A312" s="2" t="s">
        <v>277</v>
      </c>
      <c r="B312" s="2" t="s">
        <v>356</v>
      </c>
      <c r="C312" s="2" t="s">
        <v>47</v>
      </c>
      <c r="D312" s="2">
        <v>260</v>
      </c>
      <c r="E312" s="2">
        <v>17.670000000000002</v>
      </c>
      <c r="F312" s="11">
        <f>21/8</f>
        <v>2.625</v>
      </c>
    </row>
    <row r="313" spans="1:6">
      <c r="A313" s="2" t="s">
        <v>357</v>
      </c>
      <c r="B313" s="2" t="s">
        <v>356</v>
      </c>
      <c r="C313" s="2" t="s">
        <v>47</v>
      </c>
      <c r="D313" s="2">
        <v>494.5</v>
      </c>
      <c r="E313" s="2">
        <v>24.14</v>
      </c>
      <c r="F313" s="11">
        <f>79/11</f>
        <v>7.1818181818181817</v>
      </c>
    </row>
    <row r="314" spans="1:6">
      <c r="A314" s="2" t="s">
        <v>276</v>
      </c>
      <c r="B314" s="2" t="s">
        <v>211</v>
      </c>
      <c r="C314" s="2" t="s">
        <v>74</v>
      </c>
      <c r="D314" s="2">
        <v>479.5</v>
      </c>
      <c r="E314" s="2">
        <v>22.88</v>
      </c>
      <c r="F314" s="11">
        <v>7.7</v>
      </c>
    </row>
    <row r="315" spans="1:6">
      <c r="A315" s="2" t="s">
        <v>276</v>
      </c>
      <c r="B315" s="2" t="s">
        <v>356</v>
      </c>
      <c r="C315" s="2" t="s">
        <v>47</v>
      </c>
      <c r="D315" s="2">
        <v>178.6</v>
      </c>
      <c r="E315" s="2">
        <v>17.440000000000001</v>
      </c>
      <c r="F315" s="11">
        <f>13/7</f>
        <v>1.8571428571428572</v>
      </c>
    </row>
    <row r="316" spans="1:6">
      <c r="A316" t="s">
        <v>141</v>
      </c>
      <c r="B316" t="s">
        <v>124</v>
      </c>
      <c r="C316" t="s">
        <v>41</v>
      </c>
      <c r="D316">
        <v>428.3</v>
      </c>
      <c r="E316">
        <v>20.05</v>
      </c>
      <c r="F316" s="10">
        <f>28/9</f>
        <v>3.1111111111111112</v>
      </c>
    </row>
    <row r="317" spans="1:6">
      <c r="A317" t="s">
        <v>1072</v>
      </c>
      <c r="B317" t="s">
        <v>441</v>
      </c>
      <c r="C317" t="s">
        <v>1061</v>
      </c>
      <c r="D317">
        <v>220</v>
      </c>
      <c r="E317">
        <v>16.27</v>
      </c>
      <c r="F317" s="10">
        <v>1.8</v>
      </c>
    </row>
    <row r="318" spans="1:6">
      <c r="A318" s="2" t="s">
        <v>287</v>
      </c>
      <c r="B318" s="2" t="s">
        <v>215</v>
      </c>
      <c r="C318" s="2" t="s">
        <v>47</v>
      </c>
      <c r="D318" s="2">
        <f>2105/7</f>
        <v>300.71428571428572</v>
      </c>
      <c r="E318" s="2">
        <v>18.87</v>
      </c>
      <c r="F318" s="11">
        <f>19/7</f>
        <v>2.7142857142857144</v>
      </c>
    </row>
    <row r="319" spans="1:6">
      <c r="A319" t="s">
        <v>1069</v>
      </c>
      <c r="B319" t="s">
        <v>441</v>
      </c>
      <c r="C319" t="s">
        <v>1061</v>
      </c>
      <c r="D319">
        <v>228.5</v>
      </c>
      <c r="E319">
        <v>15.11</v>
      </c>
      <c r="F319" s="10">
        <v>1.3</v>
      </c>
    </row>
    <row r="320" spans="1:6">
      <c r="A320" t="s">
        <v>108</v>
      </c>
      <c r="B320" t="s">
        <v>353</v>
      </c>
      <c r="C320" t="s">
        <v>337</v>
      </c>
      <c r="D320">
        <f>((309*6)+(183*2))/8</f>
        <v>277.5</v>
      </c>
      <c r="E320">
        <f>((1170+230)/(69+15))</f>
        <v>16.666666666666668</v>
      </c>
      <c r="F320" s="10">
        <v>1</v>
      </c>
    </row>
    <row r="321" spans="1:6">
      <c r="A321" t="s">
        <v>108</v>
      </c>
      <c r="B321" t="s">
        <v>106</v>
      </c>
      <c r="C321" t="s">
        <v>74</v>
      </c>
      <c r="D321">
        <v>348.9</v>
      </c>
      <c r="E321">
        <v>19.07</v>
      </c>
      <c r="F321" s="10" t="s">
        <v>78</v>
      </c>
    </row>
    <row r="322" spans="1:6">
      <c r="A322" t="s">
        <v>323</v>
      </c>
      <c r="B322" t="s">
        <v>322</v>
      </c>
      <c r="C322" t="s">
        <v>296</v>
      </c>
      <c r="D322">
        <v>132.9</v>
      </c>
      <c r="E322">
        <v>12.38</v>
      </c>
      <c r="F322" s="10" t="s">
        <v>78</v>
      </c>
    </row>
    <row r="323" spans="1:6">
      <c r="A323" s="2" t="s">
        <v>404</v>
      </c>
      <c r="B323" s="2" t="s">
        <v>1038</v>
      </c>
      <c r="C323" s="2" t="s">
        <v>1038</v>
      </c>
      <c r="D323" s="2">
        <v>234.5</v>
      </c>
      <c r="E323" s="2">
        <v>15.16</v>
      </c>
      <c r="F323" s="11" t="s">
        <v>78</v>
      </c>
    </row>
    <row r="324" spans="1:6">
      <c r="A324" t="s">
        <v>404</v>
      </c>
      <c r="B324" t="s">
        <v>402</v>
      </c>
      <c r="C324" t="s">
        <v>74</v>
      </c>
      <c r="D324">
        <v>310.60000000000002</v>
      </c>
      <c r="E324">
        <v>16.5</v>
      </c>
      <c r="F324" s="10">
        <f>30/9</f>
        <v>3.3333333333333335</v>
      </c>
    </row>
    <row r="325" spans="1:6">
      <c r="A325" t="s">
        <v>404</v>
      </c>
      <c r="B325" t="s">
        <v>404</v>
      </c>
      <c r="C325" t="s">
        <v>82</v>
      </c>
      <c r="D325">
        <v>259</v>
      </c>
      <c r="E325">
        <v>15.34</v>
      </c>
      <c r="F325" s="10">
        <v>1.5</v>
      </c>
    </row>
    <row r="326" spans="1:6">
      <c r="A326" s="5" t="s">
        <v>185</v>
      </c>
      <c r="B326" t="s">
        <v>510</v>
      </c>
      <c r="C326" s="2" t="s">
        <v>152</v>
      </c>
      <c r="D326" s="2">
        <v>308.8</v>
      </c>
      <c r="E326" t="s">
        <v>78</v>
      </c>
      <c r="F326" s="10">
        <v>2</v>
      </c>
    </row>
    <row r="327" spans="1:6">
      <c r="A327" t="s">
        <v>185</v>
      </c>
      <c r="B327" t="s">
        <v>324</v>
      </c>
      <c r="C327" t="s">
        <v>74</v>
      </c>
      <c r="D327">
        <v>354.5</v>
      </c>
      <c r="E327">
        <v>21.59</v>
      </c>
      <c r="F327" s="10">
        <v>4.7</v>
      </c>
    </row>
    <row r="328" spans="1:6">
      <c r="A328" t="s">
        <v>185</v>
      </c>
      <c r="B328" t="s">
        <v>167</v>
      </c>
      <c r="C328" t="s">
        <v>82</v>
      </c>
      <c r="D328">
        <v>325.5</v>
      </c>
      <c r="E328">
        <v>17.260000000000002</v>
      </c>
      <c r="F328" s="10">
        <v>3.4</v>
      </c>
    </row>
    <row r="329" spans="1:6">
      <c r="A329" t="s">
        <v>185</v>
      </c>
      <c r="B329" t="s">
        <v>1055</v>
      </c>
      <c r="C329" t="s">
        <v>337</v>
      </c>
      <c r="D329">
        <v>294.39999999999998</v>
      </c>
      <c r="E329">
        <v>18.04</v>
      </c>
      <c r="F329" s="10" t="s">
        <v>78</v>
      </c>
    </row>
    <row r="330" spans="1:6">
      <c r="A330" t="s">
        <v>185</v>
      </c>
      <c r="B330" t="s">
        <v>1074</v>
      </c>
      <c r="C330" t="s">
        <v>1038</v>
      </c>
      <c r="D330">
        <v>290.60000000000002</v>
      </c>
      <c r="E330">
        <v>19.78</v>
      </c>
      <c r="F330" s="10" t="s">
        <v>78</v>
      </c>
    </row>
    <row r="331" spans="1:6">
      <c r="A331" t="s">
        <v>246</v>
      </c>
      <c r="B331" t="s">
        <v>338</v>
      </c>
      <c r="C331" t="s">
        <v>337</v>
      </c>
      <c r="D331">
        <f>((396.7*6)+(307.5*4))/10</f>
        <v>361.02</v>
      </c>
      <c r="E331">
        <f>((1440+790)/(94+44))</f>
        <v>16.159420289855074</v>
      </c>
      <c r="F331" s="10" t="s">
        <v>78</v>
      </c>
    </row>
    <row r="332" spans="1:6">
      <c r="A332" t="s">
        <v>246</v>
      </c>
      <c r="B332" t="s">
        <v>244</v>
      </c>
      <c r="C332" t="s">
        <v>47</v>
      </c>
      <c r="D332">
        <v>389</v>
      </c>
      <c r="E332" t="s">
        <v>78</v>
      </c>
      <c r="F332" s="10" t="s">
        <v>78</v>
      </c>
    </row>
    <row r="333" spans="1:6">
      <c r="A333" t="s">
        <v>246</v>
      </c>
      <c r="B333" t="s">
        <v>1053</v>
      </c>
      <c r="C333" t="s">
        <v>412</v>
      </c>
      <c r="D333">
        <v>381.2</v>
      </c>
      <c r="E333">
        <v>19.899999999999999</v>
      </c>
      <c r="F333" s="10" t="s">
        <v>78</v>
      </c>
    </row>
    <row r="334" spans="1:6">
      <c r="A334" s="2" t="s">
        <v>105</v>
      </c>
      <c r="B334" t="s">
        <v>97</v>
      </c>
      <c r="C334" t="s">
        <v>41</v>
      </c>
      <c r="D334">
        <v>223.33</v>
      </c>
      <c r="E334">
        <v>16.71</v>
      </c>
      <c r="F334" s="10">
        <f>17/9</f>
        <v>1.8888888888888888</v>
      </c>
    </row>
    <row r="335" spans="1:6">
      <c r="A335" t="s">
        <v>105</v>
      </c>
      <c r="B335" t="s">
        <v>257</v>
      </c>
      <c r="C335" t="s">
        <v>74</v>
      </c>
      <c r="D335">
        <v>327.5</v>
      </c>
      <c r="E335">
        <v>19.920000000000002</v>
      </c>
      <c r="F335" s="10">
        <v>3.92</v>
      </c>
    </row>
    <row r="336" spans="1:6">
      <c r="A336" s="2" t="s">
        <v>682</v>
      </c>
      <c r="B336" s="2" t="s">
        <v>417</v>
      </c>
      <c r="C336" s="2" t="s">
        <v>152</v>
      </c>
      <c r="D336" s="2">
        <v>356.5</v>
      </c>
      <c r="E336" s="2">
        <v>19.170000000000002</v>
      </c>
      <c r="F336" s="11">
        <f>30/13</f>
        <v>2.3076923076923075</v>
      </c>
    </row>
    <row r="337" spans="1:6">
      <c r="A337" s="2" t="s">
        <v>685</v>
      </c>
      <c r="B337" s="2" t="s">
        <v>417</v>
      </c>
      <c r="C337" s="2" t="s">
        <v>152</v>
      </c>
      <c r="D337" s="2">
        <v>228.1</v>
      </c>
      <c r="E337" s="2">
        <v>15.72</v>
      </c>
      <c r="F337" s="11">
        <f>17/13</f>
        <v>1.3076923076923077</v>
      </c>
    </row>
    <row r="338" spans="1:6">
      <c r="A338" s="2" t="s">
        <v>151</v>
      </c>
      <c r="B338" t="s">
        <v>132</v>
      </c>
      <c r="C338" t="s">
        <v>41</v>
      </c>
      <c r="D338">
        <v>298.5</v>
      </c>
      <c r="E338">
        <v>14.7</v>
      </c>
      <c r="F338" s="10">
        <v>1</v>
      </c>
    </row>
    <row r="339" spans="1:6">
      <c r="A339" s="2" t="s">
        <v>151</v>
      </c>
      <c r="B339" s="2" t="s">
        <v>1021</v>
      </c>
      <c r="C339" s="2" t="s">
        <v>74</v>
      </c>
      <c r="D339" s="2">
        <v>359.1</v>
      </c>
      <c r="E339" s="2">
        <f>(2090/3270)*30</f>
        <v>19.174311926605505</v>
      </c>
      <c r="F339" s="11">
        <f>32/11</f>
        <v>2.9090909090909092</v>
      </c>
    </row>
    <row r="340" spans="1:6">
      <c r="A340" s="5" t="s">
        <v>542</v>
      </c>
      <c r="B340" s="5" t="s">
        <v>539</v>
      </c>
      <c r="C340" s="5" t="s">
        <v>41</v>
      </c>
      <c r="D340" s="5">
        <v>289.39999999999998</v>
      </c>
      <c r="E340" s="5">
        <v>15.62</v>
      </c>
      <c r="F340" s="9">
        <f>11/8</f>
        <v>1.375</v>
      </c>
    </row>
    <row r="341" spans="1:6">
      <c r="A341" s="5" t="s">
        <v>538</v>
      </c>
      <c r="B341" s="5" t="s">
        <v>539</v>
      </c>
      <c r="C341" s="5" t="s">
        <v>41</v>
      </c>
      <c r="D341" s="5">
        <v>305.60000000000002</v>
      </c>
      <c r="E341" s="5">
        <v>18.03</v>
      </c>
      <c r="F341" s="9">
        <f>15/8</f>
        <v>1.875</v>
      </c>
    </row>
    <row r="342" spans="1:6">
      <c r="A342" s="2" t="s">
        <v>1047</v>
      </c>
      <c r="B342" s="2" t="s">
        <v>1043</v>
      </c>
      <c r="C342" s="2" t="s">
        <v>176</v>
      </c>
      <c r="D342" s="2">
        <v>297.5</v>
      </c>
      <c r="E342" s="2">
        <v>19.75</v>
      </c>
      <c r="F342" s="11">
        <f>11/8</f>
        <v>1.375</v>
      </c>
    </row>
    <row r="343" spans="1:6">
      <c r="A343" t="s">
        <v>142</v>
      </c>
      <c r="B343" t="s">
        <v>84</v>
      </c>
      <c r="C343" t="s">
        <v>74</v>
      </c>
      <c r="D343">
        <v>527.70000000000005</v>
      </c>
      <c r="E343">
        <v>23.52</v>
      </c>
      <c r="F343" s="10">
        <f>95/11</f>
        <v>8.6363636363636367</v>
      </c>
    </row>
    <row r="344" spans="1:6">
      <c r="A344" t="s">
        <v>142</v>
      </c>
      <c r="B344" t="s">
        <v>529</v>
      </c>
      <c r="C344" s="2" t="s">
        <v>47</v>
      </c>
      <c r="D344">
        <v>302.8</v>
      </c>
      <c r="E344" t="s">
        <v>78</v>
      </c>
      <c r="F344" s="10" t="s">
        <v>78</v>
      </c>
    </row>
    <row r="345" spans="1:6">
      <c r="A345" t="s">
        <v>142</v>
      </c>
      <c r="B345" t="s">
        <v>302</v>
      </c>
      <c r="C345" t="s">
        <v>176</v>
      </c>
      <c r="D345">
        <v>564.29999999999995</v>
      </c>
      <c r="E345">
        <v>24.31</v>
      </c>
      <c r="F345" s="10">
        <f>62/7</f>
        <v>8.8571428571428577</v>
      </c>
    </row>
    <row r="346" spans="1:6">
      <c r="A346" t="s">
        <v>142</v>
      </c>
      <c r="B346" t="s">
        <v>1074</v>
      </c>
      <c r="C346" t="s">
        <v>1038</v>
      </c>
      <c r="D346">
        <v>380.6</v>
      </c>
      <c r="E346">
        <v>23.81</v>
      </c>
      <c r="F346" s="10" t="s">
        <v>78</v>
      </c>
    </row>
    <row r="347" spans="1:6">
      <c r="A347" t="s">
        <v>81</v>
      </c>
      <c r="B347" t="s">
        <v>76</v>
      </c>
      <c r="C347" t="s">
        <v>77</v>
      </c>
      <c r="D347">
        <v>589.4</v>
      </c>
      <c r="E347">
        <v>25.87</v>
      </c>
      <c r="F347" s="10" t="s">
        <v>78</v>
      </c>
    </row>
    <row r="348" spans="1:6">
      <c r="A348" s="2" t="s">
        <v>81</v>
      </c>
      <c r="B348" s="2" t="s">
        <v>1029</v>
      </c>
      <c r="C348" s="2" t="s">
        <v>152</v>
      </c>
      <c r="D348" s="2">
        <v>457.3</v>
      </c>
      <c r="E348" s="2">
        <v>22.48</v>
      </c>
      <c r="F348" s="11">
        <f>59/11</f>
        <v>5.3636363636363633</v>
      </c>
    </row>
    <row r="349" spans="1:6">
      <c r="A349" t="s">
        <v>80</v>
      </c>
      <c r="B349" t="s">
        <v>76</v>
      </c>
      <c r="C349" t="s">
        <v>77</v>
      </c>
      <c r="D349">
        <v>388.8</v>
      </c>
      <c r="E349">
        <v>18.989999999999998</v>
      </c>
      <c r="F349" s="10" t="s">
        <v>78</v>
      </c>
    </row>
    <row r="350" spans="1:6">
      <c r="A350" t="s">
        <v>80</v>
      </c>
      <c r="B350" t="s">
        <v>302</v>
      </c>
      <c r="C350" t="s">
        <v>176</v>
      </c>
      <c r="D350">
        <v>372.9</v>
      </c>
      <c r="E350">
        <v>20.72</v>
      </c>
      <c r="F350" s="10">
        <f>25/7</f>
        <v>3.5714285714285716</v>
      </c>
    </row>
    <row r="351" spans="1:6">
      <c r="A351" t="s">
        <v>1065</v>
      </c>
      <c r="B351" t="s">
        <v>1060</v>
      </c>
      <c r="C351" t="s">
        <v>1061</v>
      </c>
      <c r="D351">
        <f>((350*7)+(306.25*4))/11</f>
        <v>334.09090909090907</v>
      </c>
      <c r="E351">
        <f>((1665+760)/(82+45))</f>
        <v>19.094488188976378</v>
      </c>
      <c r="F351" s="10">
        <f>28/11</f>
        <v>2.5454545454545454</v>
      </c>
    </row>
    <row r="352" spans="1:6">
      <c r="A352" t="s">
        <v>1064</v>
      </c>
      <c r="B352" t="s">
        <v>1060</v>
      </c>
      <c r="C352" t="s">
        <v>1061</v>
      </c>
      <c r="D352">
        <f>((219.3*7)+(201.7*3))/10</f>
        <v>214.01999999999998</v>
      </c>
      <c r="E352">
        <f>((900+380)/(63+23))</f>
        <v>14.883720930232558</v>
      </c>
      <c r="F352" s="10">
        <v>1.8</v>
      </c>
    </row>
    <row r="353" spans="1:6">
      <c r="A353" s="5" t="s">
        <v>503</v>
      </c>
      <c r="B353" t="s">
        <v>510</v>
      </c>
      <c r="C353" s="2" t="s">
        <v>152</v>
      </c>
      <c r="D353" s="2">
        <v>446.7</v>
      </c>
      <c r="E353" t="s">
        <v>78</v>
      </c>
      <c r="F353" s="10">
        <f>50/9</f>
        <v>5.5555555555555554</v>
      </c>
    </row>
    <row r="354" spans="1:6">
      <c r="A354" t="s">
        <v>503</v>
      </c>
      <c r="B354" t="s">
        <v>1074</v>
      </c>
      <c r="C354" t="s">
        <v>1038</v>
      </c>
      <c r="D354">
        <v>342.2</v>
      </c>
      <c r="E354">
        <v>21.37</v>
      </c>
      <c r="F354" s="10" t="s">
        <v>78</v>
      </c>
    </row>
    <row r="355" spans="1:6">
      <c r="A355" t="s">
        <v>378</v>
      </c>
      <c r="B355" t="s">
        <v>377</v>
      </c>
      <c r="C355" t="s">
        <v>176</v>
      </c>
      <c r="D355">
        <v>314.60000000000002</v>
      </c>
      <c r="E355">
        <v>17.100000000000001</v>
      </c>
      <c r="F355" s="10">
        <f>28/12</f>
        <v>2.3333333333333335</v>
      </c>
    </row>
    <row r="356" spans="1:6">
      <c r="A356" t="s">
        <v>378</v>
      </c>
      <c r="B356" t="s">
        <v>438</v>
      </c>
      <c r="C356" t="s">
        <v>82</v>
      </c>
      <c r="D356">
        <v>182.8</v>
      </c>
      <c r="E356">
        <v>12.5</v>
      </c>
      <c r="F356" s="10">
        <v>1</v>
      </c>
    </row>
    <row r="357" spans="1:6">
      <c r="A357" t="s">
        <v>299</v>
      </c>
      <c r="B357" t="s">
        <v>219</v>
      </c>
      <c r="C357" t="s">
        <v>176</v>
      </c>
      <c r="D357">
        <v>218</v>
      </c>
      <c r="E357">
        <v>15.44</v>
      </c>
      <c r="F357" s="10">
        <f>11/9</f>
        <v>1.2222222222222223</v>
      </c>
    </row>
    <row r="358" spans="1:6">
      <c r="A358" t="s">
        <v>117</v>
      </c>
      <c r="B358" t="s">
        <v>113</v>
      </c>
      <c r="C358" t="s">
        <v>77</v>
      </c>
      <c r="D358">
        <v>507.2</v>
      </c>
      <c r="E358">
        <v>25.25</v>
      </c>
      <c r="F358" s="10" t="s">
        <v>78</v>
      </c>
    </row>
    <row r="359" spans="1:6">
      <c r="A359" t="s">
        <v>117</v>
      </c>
      <c r="B359" t="s">
        <v>302</v>
      </c>
      <c r="C359" t="s">
        <v>176</v>
      </c>
      <c r="D359">
        <v>568.6</v>
      </c>
      <c r="E359">
        <v>24.72</v>
      </c>
      <c r="F359" s="10">
        <f>57/7</f>
        <v>8.1428571428571423</v>
      </c>
    </row>
    <row r="360" spans="1:6">
      <c r="A360" t="s">
        <v>528</v>
      </c>
      <c r="B360" t="s">
        <v>529</v>
      </c>
      <c r="C360" s="2" t="s">
        <v>47</v>
      </c>
      <c r="D360">
        <v>318.10000000000002</v>
      </c>
      <c r="E360" t="s">
        <v>78</v>
      </c>
      <c r="F360" s="10" t="s">
        <v>78</v>
      </c>
    </row>
    <row r="361" spans="1:6">
      <c r="A361" s="2" t="s">
        <v>528</v>
      </c>
      <c r="B361" s="2" t="s">
        <v>1029</v>
      </c>
      <c r="C361" s="2" t="s">
        <v>152</v>
      </c>
      <c r="D361" s="2">
        <v>439.1</v>
      </c>
      <c r="E361" s="2">
        <v>22.4</v>
      </c>
      <c r="F361" s="11">
        <f>49/11</f>
        <v>4.4545454545454541</v>
      </c>
    </row>
    <row r="362" spans="1:6">
      <c r="A362" t="s">
        <v>390</v>
      </c>
      <c r="B362" t="s">
        <v>388</v>
      </c>
      <c r="C362" t="s">
        <v>41</v>
      </c>
      <c r="D362">
        <v>212.3</v>
      </c>
      <c r="E362">
        <v>15.71</v>
      </c>
      <c r="F362" s="10">
        <f>9/11</f>
        <v>0.81818181818181823</v>
      </c>
    </row>
    <row r="363" spans="1:6">
      <c r="A363" t="s">
        <v>159</v>
      </c>
      <c r="B363" t="s">
        <v>529</v>
      </c>
      <c r="C363" s="2" t="s">
        <v>47</v>
      </c>
      <c r="D363">
        <v>322.2</v>
      </c>
      <c r="E363" t="s">
        <v>78</v>
      </c>
      <c r="F363" s="10" t="s">
        <v>78</v>
      </c>
    </row>
    <row r="364" spans="1:6">
      <c r="A364" s="2" t="s">
        <v>159</v>
      </c>
      <c r="B364" s="2" t="s">
        <v>1029</v>
      </c>
      <c r="C364" s="2" t="s">
        <v>152</v>
      </c>
      <c r="D364" s="2">
        <v>348</v>
      </c>
      <c r="E364" s="2">
        <v>19.7</v>
      </c>
      <c r="F364" s="11">
        <v>2.9</v>
      </c>
    </row>
    <row r="365" spans="1:6">
      <c r="A365" t="s">
        <v>159</v>
      </c>
      <c r="B365" t="s">
        <v>99</v>
      </c>
      <c r="C365" t="s">
        <v>41</v>
      </c>
      <c r="D365">
        <v>460</v>
      </c>
      <c r="E365">
        <v>20.239999999999998</v>
      </c>
      <c r="F365" s="10" t="s">
        <v>78</v>
      </c>
    </row>
    <row r="366" spans="1:6">
      <c r="A366" t="s">
        <v>380</v>
      </c>
      <c r="B366" t="s">
        <v>377</v>
      </c>
      <c r="C366" t="s">
        <v>176</v>
      </c>
      <c r="D366">
        <v>254</v>
      </c>
      <c r="E366">
        <v>16.5</v>
      </c>
      <c r="F366" s="10">
        <v>1.1000000000000001</v>
      </c>
    </row>
    <row r="367" spans="1:6">
      <c r="A367" s="2" t="s">
        <v>1022</v>
      </c>
      <c r="B367" s="2" t="s">
        <v>1021</v>
      </c>
      <c r="C367" s="2" t="s">
        <v>74</v>
      </c>
      <c r="D367" s="2">
        <v>336</v>
      </c>
      <c r="E367" s="2">
        <f>(1680/3270)*30</f>
        <v>15.412844036697248</v>
      </c>
      <c r="F367" s="11">
        <v>3</v>
      </c>
    </row>
    <row r="368" spans="1:6">
      <c r="A368" t="s">
        <v>175</v>
      </c>
      <c r="B368" t="s">
        <v>317</v>
      </c>
      <c r="C368" t="s">
        <v>296</v>
      </c>
      <c r="D368">
        <v>318.60000000000002</v>
      </c>
      <c r="E368">
        <v>19.27</v>
      </c>
      <c r="F368" s="10" t="s">
        <v>78</v>
      </c>
    </row>
    <row r="369" spans="1:6">
      <c r="A369" t="s">
        <v>90</v>
      </c>
      <c r="B369" t="s">
        <v>86</v>
      </c>
      <c r="C369" t="s">
        <v>82</v>
      </c>
      <c r="D369">
        <v>254</v>
      </c>
      <c r="E369">
        <v>15.1</v>
      </c>
      <c r="F369" s="10">
        <f>9/5</f>
        <v>1.8</v>
      </c>
    </row>
    <row r="370" spans="1:6">
      <c r="A370" s="2" t="s">
        <v>46</v>
      </c>
      <c r="B370" t="s">
        <v>33</v>
      </c>
      <c r="C370" t="s">
        <v>41</v>
      </c>
      <c r="D370">
        <v>250.7</v>
      </c>
      <c r="E370">
        <v>15.9</v>
      </c>
      <c r="F370" s="10">
        <f>10/7</f>
        <v>1.4285714285714286</v>
      </c>
    </row>
    <row r="371" spans="1:6">
      <c r="A371" t="s">
        <v>46</v>
      </c>
      <c r="B371" t="s">
        <v>49</v>
      </c>
      <c r="C371" t="s">
        <v>152</v>
      </c>
      <c r="D371">
        <v>284.39999999999998</v>
      </c>
      <c r="E371">
        <v>16.63</v>
      </c>
      <c r="F371" s="10">
        <f>5/8</f>
        <v>0.625</v>
      </c>
    </row>
    <row r="372" spans="1:6">
      <c r="A372" t="s">
        <v>64</v>
      </c>
      <c r="B372" t="s">
        <v>267</v>
      </c>
      <c r="C372" t="s">
        <v>74</v>
      </c>
      <c r="D372">
        <v>355</v>
      </c>
      <c r="E372">
        <v>20.09</v>
      </c>
      <c r="F372" s="10">
        <v>6</v>
      </c>
    </row>
    <row r="373" spans="1:6">
      <c r="A373" s="2" t="s">
        <v>64</v>
      </c>
      <c r="B373" t="s">
        <v>8</v>
      </c>
      <c r="C373" t="s">
        <v>41</v>
      </c>
      <c r="D373">
        <v>236.1</v>
      </c>
      <c r="E373">
        <v>16.100000000000001</v>
      </c>
      <c r="F373" s="10">
        <f>25/9</f>
        <v>2.7777777777777777</v>
      </c>
    </row>
    <row r="374" spans="1:6">
      <c r="A374" t="s">
        <v>64</v>
      </c>
      <c r="B374" t="s">
        <v>348</v>
      </c>
      <c r="C374" t="s">
        <v>337</v>
      </c>
      <c r="D374">
        <f>((260*5)+(257.5*6))/11</f>
        <v>258.63636363636363</v>
      </c>
      <c r="E374">
        <f>((840+1020)/(54+58))</f>
        <v>16.607142857142858</v>
      </c>
      <c r="F374" s="10" t="s">
        <v>78</v>
      </c>
    </row>
    <row r="375" spans="1:6">
      <c r="A375" t="s">
        <v>64</v>
      </c>
      <c r="B375" t="s">
        <v>1056</v>
      </c>
      <c r="C375" t="s">
        <v>152</v>
      </c>
      <c r="D375">
        <v>274.5</v>
      </c>
      <c r="E375">
        <v>18.399999999999999</v>
      </c>
      <c r="F375" s="10">
        <v>3</v>
      </c>
    </row>
    <row r="376" spans="1:6">
      <c r="A376" t="s">
        <v>64</v>
      </c>
      <c r="B376" t="s">
        <v>441</v>
      </c>
      <c r="C376" t="s">
        <v>1061</v>
      </c>
      <c r="D376">
        <v>328.2</v>
      </c>
      <c r="E376">
        <v>19.38</v>
      </c>
      <c r="F376" s="10">
        <f>40/11</f>
        <v>3.6363636363636362</v>
      </c>
    </row>
    <row r="377" spans="1:6">
      <c r="A377" s="2" t="s">
        <v>110</v>
      </c>
      <c r="B377" s="2" t="s">
        <v>1038</v>
      </c>
      <c r="C377" s="2" t="s">
        <v>1038</v>
      </c>
      <c r="D377" s="2">
        <v>260</v>
      </c>
      <c r="E377" s="2">
        <v>17.23</v>
      </c>
      <c r="F377" s="11" t="s">
        <v>78</v>
      </c>
    </row>
    <row r="378" spans="1:6">
      <c r="A378" t="s">
        <v>110</v>
      </c>
      <c r="B378" t="s">
        <v>106</v>
      </c>
      <c r="C378" t="s">
        <v>74</v>
      </c>
      <c r="D378">
        <v>329</v>
      </c>
      <c r="E378">
        <v>21.33</v>
      </c>
      <c r="F378" s="10" t="s">
        <v>78</v>
      </c>
    </row>
    <row r="379" spans="1:6">
      <c r="A379" s="2" t="s">
        <v>192</v>
      </c>
      <c r="B379" t="s">
        <v>163</v>
      </c>
      <c r="C379" t="s">
        <v>41</v>
      </c>
      <c r="D379">
        <v>310</v>
      </c>
      <c r="E379">
        <v>16.940000000000001</v>
      </c>
      <c r="F379" s="10">
        <v>1.8</v>
      </c>
    </row>
    <row r="380" spans="1:6">
      <c r="A380" s="2" t="s">
        <v>623</v>
      </c>
      <c r="B380" s="2" t="s">
        <v>1038</v>
      </c>
      <c r="C380" s="2" t="s">
        <v>1038</v>
      </c>
      <c r="D380" s="2">
        <v>199.5</v>
      </c>
      <c r="E380" s="2">
        <v>13.11</v>
      </c>
      <c r="F380" s="11" t="s">
        <v>78</v>
      </c>
    </row>
    <row r="381" spans="1:6">
      <c r="A381" t="s">
        <v>101</v>
      </c>
      <c r="B381" t="s">
        <v>310</v>
      </c>
      <c r="C381" t="s">
        <v>296</v>
      </c>
      <c r="D381">
        <v>332.9</v>
      </c>
      <c r="E381">
        <v>20.81</v>
      </c>
      <c r="F381" s="10" t="s">
        <v>78</v>
      </c>
    </row>
    <row r="382" spans="1:6">
      <c r="A382" s="2" t="s">
        <v>101</v>
      </c>
      <c r="B382" s="2" t="s">
        <v>417</v>
      </c>
      <c r="C382" s="2" t="s">
        <v>152</v>
      </c>
      <c r="D382" s="2">
        <v>266.89999999999998</v>
      </c>
      <c r="E382" s="2">
        <v>16.55</v>
      </c>
      <c r="F382" s="11">
        <f>38/13</f>
        <v>2.9230769230769229</v>
      </c>
    </row>
    <row r="383" spans="1:6">
      <c r="A383" t="s">
        <v>101</v>
      </c>
      <c r="B383" t="s">
        <v>373</v>
      </c>
      <c r="C383" t="s">
        <v>337</v>
      </c>
      <c r="D383">
        <v>284.39999999999998</v>
      </c>
      <c r="E383">
        <v>16.190000000000001</v>
      </c>
      <c r="F383" s="10" t="s">
        <v>78</v>
      </c>
    </row>
    <row r="384" spans="1:6">
      <c r="A384" s="2" t="s">
        <v>101</v>
      </c>
      <c r="B384" t="s">
        <v>97</v>
      </c>
      <c r="C384" t="s">
        <v>41</v>
      </c>
      <c r="D384">
        <v>237.78</v>
      </c>
      <c r="E384">
        <v>16.48</v>
      </c>
      <c r="F384" s="10">
        <f>22/9</f>
        <v>2.4444444444444446</v>
      </c>
    </row>
    <row r="385" spans="1:6">
      <c r="A385" t="s">
        <v>101</v>
      </c>
      <c r="B385" t="s">
        <v>257</v>
      </c>
      <c r="C385" t="s">
        <v>74</v>
      </c>
      <c r="D385">
        <v>461.2</v>
      </c>
      <c r="E385">
        <v>23</v>
      </c>
      <c r="F385" s="10">
        <v>7.75</v>
      </c>
    </row>
    <row r="386" spans="1:6">
      <c r="A386" t="s">
        <v>95</v>
      </c>
      <c r="B386" t="s">
        <v>86</v>
      </c>
      <c r="C386" t="s">
        <v>82</v>
      </c>
      <c r="D386">
        <v>230.8</v>
      </c>
      <c r="E386">
        <v>13.33</v>
      </c>
      <c r="F386" s="10">
        <v>1</v>
      </c>
    </row>
    <row r="387" spans="1:6">
      <c r="A387" s="2" t="s">
        <v>95</v>
      </c>
      <c r="B387" t="s">
        <v>288</v>
      </c>
      <c r="C387" t="s">
        <v>41</v>
      </c>
      <c r="D387">
        <v>284</v>
      </c>
      <c r="E387">
        <v>18.18</v>
      </c>
      <c r="F387" s="10">
        <f>1.8</f>
        <v>1.8</v>
      </c>
    </row>
    <row r="388" spans="1:6">
      <c r="A388" t="s">
        <v>345</v>
      </c>
      <c r="B388" t="s">
        <v>338</v>
      </c>
      <c r="C388" t="s">
        <v>337</v>
      </c>
      <c r="D388">
        <f>((153.3*6)+(120*1))/7</f>
        <v>148.54285714285717</v>
      </c>
      <c r="E388">
        <f>((450+60)/(47+6))</f>
        <v>9.6226415094339615</v>
      </c>
      <c r="F388" s="10" t="s">
        <v>78</v>
      </c>
    </row>
    <row r="389" spans="1:6">
      <c r="A389" s="2" t="s">
        <v>408</v>
      </c>
      <c r="B389" s="2" t="s">
        <v>1038</v>
      </c>
      <c r="C389" s="2" t="s">
        <v>1038</v>
      </c>
      <c r="D389" s="2">
        <v>398.2</v>
      </c>
      <c r="E389" s="2">
        <v>23.36</v>
      </c>
      <c r="F389" s="11" t="s">
        <v>78</v>
      </c>
    </row>
    <row r="390" spans="1:6">
      <c r="A390" t="s">
        <v>408</v>
      </c>
      <c r="B390" t="s">
        <v>407</v>
      </c>
      <c r="C390" t="s">
        <v>382</v>
      </c>
      <c r="D390">
        <v>464</v>
      </c>
      <c r="E390">
        <v>22.55</v>
      </c>
      <c r="F390" s="10" t="s">
        <v>78</v>
      </c>
    </row>
    <row r="391" spans="1:6">
      <c r="A391" t="s">
        <v>58</v>
      </c>
      <c r="B391" t="s">
        <v>295</v>
      </c>
      <c r="C391" t="s">
        <v>296</v>
      </c>
      <c r="D391">
        <v>353.5</v>
      </c>
      <c r="E391">
        <v>23.52</v>
      </c>
      <c r="F391" s="10" t="s">
        <v>78</v>
      </c>
    </row>
    <row r="392" spans="1:6">
      <c r="A392" t="s">
        <v>58</v>
      </c>
      <c r="B392" t="s">
        <v>8</v>
      </c>
      <c r="C392" t="s">
        <v>41</v>
      </c>
      <c r="D392">
        <v>445.5</v>
      </c>
      <c r="E392">
        <v>22.73</v>
      </c>
      <c r="F392" s="10">
        <v>5.3</v>
      </c>
    </row>
    <row r="393" spans="1:6">
      <c r="A393" t="s">
        <v>58</v>
      </c>
      <c r="B393" t="s">
        <v>348</v>
      </c>
      <c r="C393" t="s">
        <v>337</v>
      </c>
      <c r="D393">
        <f>((456*5)+(417.5*6))/11</f>
        <v>435</v>
      </c>
      <c r="E393">
        <f>((1560+1805)/(74+75))</f>
        <v>22.583892617449663</v>
      </c>
      <c r="F393" s="10" t="s">
        <v>78</v>
      </c>
    </row>
    <row r="394" spans="1:6">
      <c r="A394" t="s">
        <v>58</v>
      </c>
      <c r="B394" t="s">
        <v>1056</v>
      </c>
      <c r="C394" t="s">
        <v>152</v>
      </c>
      <c r="D394">
        <v>488.8</v>
      </c>
      <c r="E394">
        <v>23.8</v>
      </c>
      <c r="F394" s="10">
        <f>61/12</f>
        <v>5.083333333333333</v>
      </c>
    </row>
    <row r="395" spans="1:6">
      <c r="A395" t="s">
        <v>58</v>
      </c>
      <c r="B395" t="s">
        <v>441</v>
      </c>
      <c r="C395" t="s">
        <v>1061</v>
      </c>
      <c r="D395">
        <v>507.7</v>
      </c>
      <c r="E395">
        <v>24.46</v>
      </c>
      <c r="F395" s="10">
        <f>57/11</f>
        <v>5.1818181818181817</v>
      </c>
    </row>
    <row r="396" spans="1:6">
      <c r="A396" s="2" t="s">
        <v>63</v>
      </c>
      <c r="B396" t="s">
        <v>8</v>
      </c>
      <c r="C396" t="s">
        <v>41</v>
      </c>
      <c r="D396">
        <v>236.7</v>
      </c>
      <c r="E396">
        <v>16.670000000000002</v>
      </c>
      <c r="F396" s="10">
        <f>10/9</f>
        <v>1.1111111111111112</v>
      </c>
    </row>
    <row r="397" spans="1:6">
      <c r="A397" t="s">
        <v>63</v>
      </c>
      <c r="B397" t="s">
        <v>1056</v>
      </c>
      <c r="C397" t="s">
        <v>152</v>
      </c>
      <c r="D397">
        <v>305.5</v>
      </c>
      <c r="E397">
        <v>17.61</v>
      </c>
      <c r="F397" s="10">
        <f>28/11</f>
        <v>2.5454545454545454</v>
      </c>
    </row>
    <row r="398" spans="1:6">
      <c r="A398" t="s">
        <v>1057</v>
      </c>
      <c r="B398" t="s">
        <v>1056</v>
      </c>
      <c r="C398" t="s">
        <v>152</v>
      </c>
      <c r="D398">
        <v>202</v>
      </c>
      <c r="E398">
        <v>16.84</v>
      </c>
      <c r="F398" s="10">
        <f>12/11</f>
        <v>1.0909090909090908</v>
      </c>
    </row>
    <row r="399" spans="1:6">
      <c r="A399" t="s">
        <v>174</v>
      </c>
      <c r="B399" t="s">
        <v>175</v>
      </c>
      <c r="C399" t="s">
        <v>176</v>
      </c>
      <c r="D399">
        <v>606.1</v>
      </c>
      <c r="E399">
        <v>20.96</v>
      </c>
      <c r="F399" s="10">
        <f>55/9</f>
        <v>6.1111111111111107</v>
      </c>
    </row>
    <row r="400" spans="1:6">
      <c r="A400" s="2" t="s">
        <v>147</v>
      </c>
      <c r="B400" t="s">
        <v>132</v>
      </c>
      <c r="C400" t="s">
        <v>41</v>
      </c>
      <c r="D400">
        <v>343.6</v>
      </c>
      <c r="E400">
        <v>16.2</v>
      </c>
      <c r="F400" s="10">
        <v>1.0900000000000001</v>
      </c>
    </row>
    <row r="401" spans="1:6">
      <c r="A401" t="s">
        <v>414</v>
      </c>
      <c r="B401" t="s">
        <v>413</v>
      </c>
      <c r="C401" t="s">
        <v>412</v>
      </c>
      <c r="D401">
        <v>315.5</v>
      </c>
      <c r="E401">
        <v>13.14</v>
      </c>
      <c r="F401" s="10" t="s">
        <v>78</v>
      </c>
    </row>
    <row r="402" spans="1:6">
      <c r="A402" s="2" t="s">
        <v>414</v>
      </c>
      <c r="B402" s="2" t="s">
        <v>1021</v>
      </c>
      <c r="C402" s="2" t="s">
        <v>74</v>
      </c>
      <c r="D402" s="2">
        <v>403.8</v>
      </c>
      <c r="E402" s="2">
        <f>(2750/4230)*30</f>
        <v>19.50354609929078</v>
      </c>
      <c r="F402" s="11">
        <f>64/13</f>
        <v>4.9230769230769234</v>
      </c>
    </row>
    <row r="403" spans="1:6">
      <c r="A403" t="s">
        <v>415</v>
      </c>
      <c r="B403" t="s">
        <v>413</v>
      </c>
      <c r="C403" t="s">
        <v>412</v>
      </c>
      <c r="D403">
        <v>241.4</v>
      </c>
      <c r="E403">
        <v>11.94</v>
      </c>
      <c r="F403" s="10" t="s">
        <v>78</v>
      </c>
    </row>
    <row r="404" spans="1:6">
      <c r="A404" s="2" t="s">
        <v>415</v>
      </c>
      <c r="B404" s="2" t="s">
        <v>1021</v>
      </c>
      <c r="C404" s="2" t="s">
        <v>74</v>
      </c>
      <c r="D404" s="2">
        <v>325.60000000000002</v>
      </c>
      <c r="E404" s="2">
        <f>(1520/2730)*30</f>
        <v>16.703296703296704</v>
      </c>
      <c r="F404" s="11">
        <f>23/9</f>
        <v>2.5555555555555554</v>
      </c>
    </row>
    <row r="405" spans="1:6">
      <c r="A405" s="2" t="s">
        <v>1012</v>
      </c>
      <c r="B405" s="2" t="s">
        <v>1013</v>
      </c>
      <c r="C405" s="2" t="s">
        <v>41</v>
      </c>
      <c r="D405" s="2">
        <v>297.7</v>
      </c>
      <c r="E405" s="2">
        <v>14.43</v>
      </c>
      <c r="F405" s="11">
        <f>1.9</f>
        <v>1.9</v>
      </c>
    </row>
    <row r="406" spans="1:6">
      <c r="A406" s="2" t="s">
        <v>1030</v>
      </c>
      <c r="B406" s="2" t="s">
        <v>1029</v>
      </c>
      <c r="C406" s="2" t="s">
        <v>152</v>
      </c>
      <c r="D406" s="2">
        <v>293.5</v>
      </c>
      <c r="E406" s="2">
        <v>18.27</v>
      </c>
      <c r="F406" s="11">
        <v>1.7</v>
      </c>
    </row>
    <row r="407" spans="1:6">
      <c r="A407" s="2" t="s">
        <v>1011</v>
      </c>
      <c r="B407" s="2" t="s">
        <v>417</v>
      </c>
      <c r="C407" s="2" t="s">
        <v>152</v>
      </c>
      <c r="D407" s="2">
        <v>331.2</v>
      </c>
      <c r="E407" s="2">
        <v>18.36</v>
      </c>
      <c r="F407" s="11">
        <f>23/13</f>
        <v>1.7692307692307692</v>
      </c>
    </row>
    <row r="408" spans="1:6">
      <c r="A408" t="s">
        <v>367</v>
      </c>
      <c r="B408" t="s">
        <v>368</v>
      </c>
      <c r="C408" t="s">
        <v>152</v>
      </c>
      <c r="D408">
        <v>313.8</v>
      </c>
      <c r="E408">
        <v>15.4</v>
      </c>
      <c r="F408" s="10">
        <f>14/12</f>
        <v>1.1666666666666667</v>
      </c>
    </row>
    <row r="409" spans="1:6">
      <c r="A409" t="s">
        <v>367</v>
      </c>
      <c r="B409" t="s">
        <v>438</v>
      </c>
      <c r="C409" t="s">
        <v>82</v>
      </c>
      <c r="D409">
        <v>305</v>
      </c>
      <c r="E409">
        <v>15.63</v>
      </c>
      <c r="F409" s="10">
        <v>2.1</v>
      </c>
    </row>
    <row r="410" spans="1:6">
      <c r="A410" s="2" t="s">
        <v>91</v>
      </c>
      <c r="B410" s="2" t="s">
        <v>241</v>
      </c>
      <c r="C410" s="2" t="s">
        <v>176</v>
      </c>
      <c r="D410" s="2">
        <f>((587.5*4)+(488.3*6))/10</f>
        <v>527.98</v>
      </c>
      <c r="E410" s="2">
        <f>3580/149</f>
        <v>24.026845637583893</v>
      </c>
      <c r="F410" s="11">
        <v>5.6</v>
      </c>
    </row>
    <row r="411" spans="1:6">
      <c r="A411" s="2" t="s">
        <v>91</v>
      </c>
      <c r="B411" s="2" t="s">
        <v>337</v>
      </c>
      <c r="C411" s="2" t="s">
        <v>337</v>
      </c>
      <c r="D411" s="2">
        <f>((338*5)+(168*5))/10</f>
        <v>253</v>
      </c>
      <c r="E411" s="2">
        <f>((1090+580)/(63+32))</f>
        <v>17.578947368421051</v>
      </c>
      <c r="F411" s="11" t="s">
        <v>78</v>
      </c>
    </row>
    <row r="412" spans="1:6">
      <c r="A412" t="s">
        <v>91</v>
      </c>
      <c r="B412" t="s">
        <v>153</v>
      </c>
      <c r="C412" t="s">
        <v>152</v>
      </c>
      <c r="D412">
        <v>367</v>
      </c>
      <c r="E412">
        <v>18.190000000000001</v>
      </c>
      <c r="F412" s="10">
        <v>3.3</v>
      </c>
    </row>
    <row r="413" spans="1:6" s="5" customFormat="1">
      <c r="A413" t="s">
        <v>91</v>
      </c>
      <c r="B413" t="s">
        <v>86</v>
      </c>
      <c r="C413" t="s">
        <v>82</v>
      </c>
      <c r="D413">
        <v>382.5</v>
      </c>
      <c r="E413">
        <v>18.97</v>
      </c>
      <c r="F413" s="10">
        <f>14/6</f>
        <v>2.3333333333333335</v>
      </c>
    </row>
    <row r="414" spans="1:6" s="5" customFormat="1">
      <c r="A414" t="s">
        <v>91</v>
      </c>
      <c r="B414" t="s">
        <v>288</v>
      </c>
      <c r="C414" t="s">
        <v>41</v>
      </c>
      <c r="D414">
        <v>318.3</v>
      </c>
      <c r="E414">
        <v>20.16</v>
      </c>
      <c r="F414" s="10">
        <f>17/12</f>
        <v>1.4166666666666667</v>
      </c>
    </row>
    <row r="415" spans="1:6" s="5" customFormat="1">
      <c r="A415" t="s">
        <v>722</v>
      </c>
      <c r="B415" t="s">
        <v>1055</v>
      </c>
      <c r="C415" t="s">
        <v>337</v>
      </c>
      <c r="D415">
        <v>424.1</v>
      </c>
      <c r="E415">
        <v>24.03</v>
      </c>
      <c r="F415" s="10" t="s">
        <v>78</v>
      </c>
    </row>
    <row r="416" spans="1:6" s="5" customFormat="1">
      <c r="A416" t="s">
        <v>158</v>
      </c>
      <c r="B416" t="s">
        <v>295</v>
      </c>
      <c r="C416" t="s">
        <v>296</v>
      </c>
      <c r="D416">
        <v>415</v>
      </c>
      <c r="E416">
        <v>24.15</v>
      </c>
      <c r="F416" s="10" t="s">
        <v>78</v>
      </c>
    </row>
    <row r="417" spans="1:6" s="5" customFormat="1">
      <c r="A417" s="2" t="s">
        <v>158</v>
      </c>
      <c r="B417" s="2" t="s">
        <v>1025</v>
      </c>
      <c r="C417" s="2" t="s">
        <v>152</v>
      </c>
      <c r="D417" s="2">
        <v>472.8</v>
      </c>
      <c r="E417" s="2">
        <v>21.68</v>
      </c>
      <c r="F417" s="11">
        <f>50/9</f>
        <v>5.5555555555555554</v>
      </c>
    </row>
    <row r="418" spans="1:6" s="5" customFormat="1">
      <c r="A418" t="s">
        <v>158</v>
      </c>
      <c r="B418" t="s">
        <v>156</v>
      </c>
      <c r="C418" t="s">
        <v>74</v>
      </c>
      <c r="D418">
        <v>561.5</v>
      </c>
      <c r="E418">
        <v>24.37</v>
      </c>
      <c r="F418" s="10">
        <f>95/11</f>
        <v>8.6363636363636367</v>
      </c>
    </row>
    <row r="419" spans="1:6" s="5" customFormat="1">
      <c r="A419" t="s">
        <v>157</v>
      </c>
      <c r="B419" t="s">
        <v>295</v>
      </c>
      <c r="C419" t="s">
        <v>296</v>
      </c>
      <c r="D419">
        <v>182.5</v>
      </c>
      <c r="E419">
        <v>15</v>
      </c>
      <c r="F419" s="10" t="s">
        <v>78</v>
      </c>
    </row>
    <row r="420" spans="1:6" s="5" customFormat="1">
      <c r="A420" t="s">
        <v>157</v>
      </c>
      <c r="B420" t="s">
        <v>156</v>
      </c>
      <c r="C420" t="s">
        <v>74</v>
      </c>
      <c r="D420">
        <v>260.89999999999998</v>
      </c>
      <c r="E420">
        <v>15.86</v>
      </c>
      <c r="F420" s="10">
        <f>53/11</f>
        <v>4.8181818181818183</v>
      </c>
    </row>
    <row r="421" spans="1:6" s="5" customFormat="1">
      <c r="A421" t="s">
        <v>303</v>
      </c>
      <c r="B421" t="s">
        <v>302</v>
      </c>
      <c r="C421" t="s">
        <v>176</v>
      </c>
      <c r="D421">
        <v>291.39999999999998</v>
      </c>
      <c r="E421">
        <v>17.3</v>
      </c>
      <c r="F421" s="10">
        <f>18/7</f>
        <v>2.5714285714285716</v>
      </c>
    </row>
    <row r="422" spans="1:6" s="5" customFormat="1">
      <c r="A422" t="s">
        <v>85</v>
      </c>
      <c r="B422" t="s">
        <v>82</v>
      </c>
      <c r="C422" t="s">
        <v>82</v>
      </c>
      <c r="D422">
        <v>304.3</v>
      </c>
      <c r="E422">
        <v>17.309999999999999</v>
      </c>
      <c r="F422" s="10">
        <f>8/7</f>
        <v>1.1428571428571428</v>
      </c>
    </row>
    <row r="423" spans="1:6" s="5" customFormat="1">
      <c r="A423" t="s">
        <v>85</v>
      </c>
      <c r="B423" t="s">
        <v>84</v>
      </c>
      <c r="C423" t="s">
        <v>74</v>
      </c>
      <c r="D423">
        <v>340.6</v>
      </c>
      <c r="E423">
        <v>18.559999999999999</v>
      </c>
      <c r="F423" s="10">
        <v>5</v>
      </c>
    </row>
    <row r="424" spans="1:6" s="5" customFormat="1">
      <c r="A424" t="s">
        <v>308</v>
      </c>
      <c r="B424" t="s">
        <v>302</v>
      </c>
      <c r="C424" t="s">
        <v>176</v>
      </c>
      <c r="D424">
        <v>357.9</v>
      </c>
      <c r="E424">
        <v>22.34</v>
      </c>
      <c r="F424" s="10">
        <f>20/7</f>
        <v>2.8571428571428572</v>
      </c>
    </row>
    <row r="425" spans="1:6" s="5" customFormat="1">
      <c r="A425" t="s">
        <v>307</v>
      </c>
      <c r="B425" t="s">
        <v>302</v>
      </c>
      <c r="C425" t="s">
        <v>176</v>
      </c>
      <c r="D425">
        <v>245</v>
      </c>
      <c r="E425">
        <v>18.149999999999999</v>
      </c>
      <c r="F425" s="10">
        <f>11/7</f>
        <v>1.5714285714285714</v>
      </c>
    </row>
    <row r="426" spans="1:6">
      <c r="A426" t="s">
        <v>301</v>
      </c>
      <c r="B426" t="s">
        <v>219</v>
      </c>
      <c r="C426" t="s">
        <v>176</v>
      </c>
      <c r="D426">
        <v>287.89999999999998</v>
      </c>
      <c r="E426">
        <v>16.03</v>
      </c>
      <c r="F426" s="10">
        <f>6/7</f>
        <v>0.8571428571428571</v>
      </c>
    </row>
    <row r="427" spans="1:6">
      <c r="A427" t="s">
        <v>115</v>
      </c>
      <c r="B427" t="s">
        <v>113</v>
      </c>
      <c r="C427" t="s">
        <v>77</v>
      </c>
      <c r="D427">
        <v>449.4</v>
      </c>
      <c r="E427">
        <v>25.57</v>
      </c>
      <c r="F427" s="10" t="s">
        <v>78</v>
      </c>
    </row>
    <row r="428" spans="1:6" s="5" customFormat="1">
      <c r="A428" t="s">
        <v>115</v>
      </c>
      <c r="B428" t="s">
        <v>240</v>
      </c>
      <c r="C428" t="s">
        <v>152</v>
      </c>
      <c r="D428">
        <v>478.2</v>
      </c>
      <c r="E428">
        <v>20</v>
      </c>
      <c r="F428" s="10">
        <f>35/11</f>
        <v>3.1818181818181817</v>
      </c>
    </row>
    <row r="429" spans="1:6" s="5" customFormat="1">
      <c r="A429" t="s">
        <v>115</v>
      </c>
      <c r="B429" t="s">
        <v>302</v>
      </c>
      <c r="C429" t="s">
        <v>176</v>
      </c>
      <c r="D429">
        <v>540.70000000000005</v>
      </c>
      <c r="E429">
        <v>24.72</v>
      </c>
      <c r="F429" s="10">
        <v>5</v>
      </c>
    </row>
    <row r="430" spans="1:6" s="5" customFormat="1">
      <c r="A430" s="2" t="s">
        <v>1052</v>
      </c>
      <c r="B430" s="2" t="s">
        <v>6</v>
      </c>
      <c r="C430" s="2" t="s">
        <v>1051</v>
      </c>
      <c r="D430" s="2">
        <v>266.5</v>
      </c>
      <c r="E430" s="2" t="s">
        <v>78</v>
      </c>
      <c r="F430" s="11" t="s">
        <v>78</v>
      </c>
    </row>
    <row r="431" spans="1:6" s="5" customFormat="1">
      <c r="A431" s="2" t="s">
        <v>1044</v>
      </c>
      <c r="B431" s="2" t="s">
        <v>1043</v>
      </c>
      <c r="C431" s="2" t="s">
        <v>176</v>
      </c>
      <c r="D431" s="2">
        <v>364.4</v>
      </c>
      <c r="E431" s="2">
        <v>20.32</v>
      </c>
      <c r="F431" s="11">
        <f>29/8</f>
        <v>3.625</v>
      </c>
    </row>
    <row r="432" spans="1:6" s="5" customFormat="1">
      <c r="A432" s="2" t="s">
        <v>1045</v>
      </c>
      <c r="B432" s="2" t="s">
        <v>1043</v>
      </c>
      <c r="C432" s="2" t="s">
        <v>176</v>
      </c>
      <c r="D432" s="2">
        <v>233.8</v>
      </c>
      <c r="E432" s="2">
        <v>17.72</v>
      </c>
      <c r="F432" s="11">
        <f>10/8</f>
        <v>1.25</v>
      </c>
    </row>
    <row r="433" spans="1:6" s="5" customFormat="1">
      <c r="A433" t="s">
        <v>256</v>
      </c>
      <c r="B433" t="s">
        <v>136</v>
      </c>
      <c r="C433" t="s">
        <v>47</v>
      </c>
      <c r="D433">
        <v>410</v>
      </c>
      <c r="E433" t="s">
        <v>78</v>
      </c>
      <c r="F433" s="10" t="s">
        <v>78</v>
      </c>
    </row>
    <row r="434" spans="1:6" s="5" customFormat="1">
      <c r="A434" s="2" t="s">
        <v>256</v>
      </c>
      <c r="B434" s="2" t="s">
        <v>1050</v>
      </c>
      <c r="C434" s="2" t="s">
        <v>176</v>
      </c>
      <c r="D434" s="2">
        <v>326.7</v>
      </c>
      <c r="E434" s="2">
        <v>22.13</v>
      </c>
      <c r="F434" s="11" t="s">
        <v>78</v>
      </c>
    </row>
    <row r="435" spans="1:6" s="5" customFormat="1">
      <c r="A435" t="s">
        <v>255</v>
      </c>
      <c r="B435" t="s">
        <v>136</v>
      </c>
      <c r="C435" t="s">
        <v>47</v>
      </c>
      <c r="D435">
        <v>418.6</v>
      </c>
      <c r="E435" t="s">
        <v>78</v>
      </c>
      <c r="F435" s="10" t="s">
        <v>78</v>
      </c>
    </row>
    <row r="436" spans="1:6" s="5" customFormat="1">
      <c r="A436" t="s">
        <v>255</v>
      </c>
      <c r="B436" t="s">
        <v>338</v>
      </c>
      <c r="C436" t="s">
        <v>337</v>
      </c>
      <c r="D436">
        <f>((243.3*6)+(125*2))/8</f>
        <v>213.72500000000002</v>
      </c>
      <c r="E436">
        <f>((830+90)/(63+16))</f>
        <v>11.645569620253164</v>
      </c>
      <c r="F436" s="10" t="s">
        <v>78</v>
      </c>
    </row>
    <row r="437" spans="1:6" s="5" customFormat="1">
      <c r="A437" s="2" t="s">
        <v>255</v>
      </c>
      <c r="B437" s="2" t="s">
        <v>1038</v>
      </c>
      <c r="C437" s="2" t="s">
        <v>1038</v>
      </c>
      <c r="D437" s="2">
        <v>238.9</v>
      </c>
      <c r="E437" s="2">
        <v>14.18</v>
      </c>
      <c r="F437" s="11" t="s">
        <v>78</v>
      </c>
    </row>
    <row r="438" spans="1:6">
      <c r="A438" t="s">
        <v>514</v>
      </c>
      <c r="B438" t="s">
        <v>512</v>
      </c>
      <c r="C438" s="2" t="s">
        <v>152</v>
      </c>
      <c r="D438" s="2">
        <v>250.7</v>
      </c>
      <c r="E438">
        <v>15.23</v>
      </c>
      <c r="F438" s="10">
        <f>5/7</f>
        <v>0.7142857142857143</v>
      </c>
    </row>
    <row r="439" spans="1:6">
      <c r="A439" s="2" t="s">
        <v>44</v>
      </c>
      <c r="B439" t="s">
        <v>33</v>
      </c>
      <c r="C439" t="s">
        <v>41</v>
      </c>
      <c r="D439">
        <v>218</v>
      </c>
      <c r="E439">
        <v>14.06</v>
      </c>
      <c r="F439" s="10">
        <v>1.4</v>
      </c>
    </row>
    <row r="440" spans="1:6">
      <c r="A440" s="5" t="s">
        <v>44</v>
      </c>
      <c r="B440" t="s">
        <v>510</v>
      </c>
      <c r="C440" s="2" t="s">
        <v>152</v>
      </c>
      <c r="D440" s="2">
        <v>233.8</v>
      </c>
      <c r="E440" t="s">
        <v>78</v>
      </c>
      <c r="F440" s="10">
        <f>12/8</f>
        <v>1.5</v>
      </c>
    </row>
    <row r="441" spans="1:6">
      <c r="A441" t="s">
        <v>44</v>
      </c>
      <c r="B441" t="s">
        <v>42</v>
      </c>
      <c r="C441" t="s">
        <v>47</v>
      </c>
      <c r="D441">
        <v>370</v>
      </c>
      <c r="E441">
        <v>20.93</v>
      </c>
      <c r="F441" s="10">
        <v>2.2000000000000002</v>
      </c>
    </row>
    <row r="442" spans="1:6">
      <c r="A442" t="s">
        <v>56</v>
      </c>
      <c r="B442" t="s">
        <v>295</v>
      </c>
      <c r="C442" t="s">
        <v>296</v>
      </c>
      <c r="D442">
        <v>317</v>
      </c>
      <c r="E442">
        <v>21.68</v>
      </c>
      <c r="F442" s="10" t="s">
        <v>78</v>
      </c>
    </row>
    <row r="443" spans="1:6">
      <c r="A443" t="s">
        <v>56</v>
      </c>
      <c r="B443" t="s">
        <v>267</v>
      </c>
      <c r="C443" t="s">
        <v>74</v>
      </c>
      <c r="D443">
        <v>461.5</v>
      </c>
      <c r="E443">
        <v>23.04</v>
      </c>
      <c r="F443" s="10">
        <v>9.1999999999999993</v>
      </c>
    </row>
    <row r="444" spans="1:6">
      <c r="A444" s="2" t="s">
        <v>56</v>
      </c>
      <c r="B444" s="2" t="s">
        <v>1038</v>
      </c>
      <c r="C444" s="2" t="s">
        <v>1038</v>
      </c>
      <c r="D444" s="2">
        <v>466.8</v>
      </c>
      <c r="E444" s="2">
        <v>22.94</v>
      </c>
      <c r="F444" s="11" t="s">
        <v>78</v>
      </c>
    </row>
    <row r="445" spans="1:6">
      <c r="A445" t="s">
        <v>56</v>
      </c>
      <c r="B445" t="s">
        <v>8</v>
      </c>
      <c r="C445" t="s">
        <v>41</v>
      </c>
      <c r="D445">
        <v>405.9</v>
      </c>
      <c r="E445">
        <v>20.94</v>
      </c>
      <c r="F445" s="10">
        <f>56/11</f>
        <v>5.0909090909090908</v>
      </c>
    </row>
    <row r="446" spans="1:6">
      <c r="A446" t="s">
        <v>56</v>
      </c>
      <c r="B446" t="s">
        <v>407</v>
      </c>
      <c r="C446" t="s">
        <v>382</v>
      </c>
      <c r="D446">
        <v>482.5</v>
      </c>
      <c r="E446">
        <v>23</v>
      </c>
      <c r="F446" s="10" t="s">
        <v>78</v>
      </c>
    </row>
    <row r="447" spans="1:6">
      <c r="A447" t="s">
        <v>56</v>
      </c>
      <c r="B447" t="s">
        <v>196</v>
      </c>
      <c r="C447" t="s">
        <v>194</v>
      </c>
      <c r="D447">
        <v>312.7</v>
      </c>
      <c r="E447">
        <v>19.28</v>
      </c>
      <c r="F447" s="10">
        <v>2.2000000000000002</v>
      </c>
    </row>
    <row r="448" spans="1:6">
      <c r="A448" t="s">
        <v>56</v>
      </c>
      <c r="B448" t="s">
        <v>348</v>
      </c>
      <c r="C448" t="s">
        <v>337</v>
      </c>
      <c r="D448">
        <f>((480*5)+(341.7*6))/11</f>
        <v>404.56363636363636</v>
      </c>
      <c r="E448">
        <f>((1600+1420)/(85+72))</f>
        <v>19.235668789808916</v>
      </c>
      <c r="F448" s="10" t="s">
        <v>78</v>
      </c>
    </row>
    <row r="449" spans="1:6">
      <c r="A449" t="s">
        <v>262</v>
      </c>
      <c r="B449" t="s">
        <v>263</v>
      </c>
      <c r="C449" t="s">
        <v>82</v>
      </c>
      <c r="D449">
        <v>324.39999999999998</v>
      </c>
      <c r="E449">
        <v>17.98</v>
      </c>
      <c r="F449" s="10">
        <f>24/9</f>
        <v>2.6666666666666665</v>
      </c>
    </row>
    <row r="450" spans="1:6">
      <c r="A450" s="2" t="s">
        <v>262</v>
      </c>
      <c r="B450" s="2" t="s">
        <v>1029</v>
      </c>
      <c r="C450" s="2" t="s">
        <v>152</v>
      </c>
      <c r="D450" s="2">
        <v>312.2</v>
      </c>
      <c r="E450" s="2">
        <v>17.43</v>
      </c>
      <c r="F450" s="11">
        <v>1.9</v>
      </c>
    </row>
    <row r="451" spans="1:6">
      <c r="A451" t="s">
        <v>262</v>
      </c>
      <c r="B451" t="s">
        <v>302</v>
      </c>
      <c r="C451" t="s">
        <v>176</v>
      </c>
      <c r="D451">
        <v>315</v>
      </c>
      <c r="E451">
        <v>17.12</v>
      </c>
      <c r="F451" s="10">
        <f>13/7</f>
        <v>1.8571428571428572</v>
      </c>
    </row>
    <row r="452" spans="1:6">
      <c r="A452" s="5" t="s">
        <v>182</v>
      </c>
      <c r="B452" t="s">
        <v>510</v>
      </c>
      <c r="C452" s="2" t="s">
        <v>152</v>
      </c>
      <c r="D452" s="2">
        <v>378.9</v>
      </c>
      <c r="E452" t="s">
        <v>78</v>
      </c>
      <c r="F452" s="10">
        <f>42/9</f>
        <v>4.666666666666667</v>
      </c>
    </row>
    <row r="453" spans="1:6">
      <c r="A453" t="s">
        <v>182</v>
      </c>
      <c r="B453" t="s">
        <v>167</v>
      </c>
      <c r="C453" t="s">
        <v>82</v>
      </c>
      <c r="D453">
        <v>347.5</v>
      </c>
      <c r="E453">
        <v>20.63</v>
      </c>
      <c r="F453" s="10">
        <v>3.9</v>
      </c>
    </row>
    <row r="454" spans="1:6">
      <c r="A454" t="s">
        <v>182</v>
      </c>
      <c r="B454" t="s">
        <v>1055</v>
      </c>
      <c r="C454" t="s">
        <v>337</v>
      </c>
      <c r="D454">
        <v>343.2</v>
      </c>
      <c r="E454">
        <v>20.79</v>
      </c>
      <c r="F454" s="10" t="s">
        <v>78</v>
      </c>
    </row>
    <row r="455" spans="1:6">
      <c r="A455" t="s">
        <v>182</v>
      </c>
      <c r="B455" t="s">
        <v>1074</v>
      </c>
      <c r="C455" t="s">
        <v>1038</v>
      </c>
      <c r="D455">
        <v>360</v>
      </c>
      <c r="E455">
        <v>23.04</v>
      </c>
      <c r="F455" s="10" t="s">
        <v>78</v>
      </c>
    </row>
    <row r="456" spans="1:6">
      <c r="A456" t="s">
        <v>118</v>
      </c>
      <c r="B456" t="s">
        <v>113</v>
      </c>
      <c r="C456" t="s">
        <v>77</v>
      </c>
      <c r="D456">
        <v>344.4</v>
      </c>
      <c r="E456">
        <v>19.43</v>
      </c>
      <c r="F456" s="10" t="s">
        <v>78</v>
      </c>
    </row>
    <row r="457" spans="1:6">
      <c r="A457" s="2" t="s">
        <v>531</v>
      </c>
      <c r="B457" s="2" t="s">
        <v>530</v>
      </c>
      <c r="C457" s="2" t="s">
        <v>176</v>
      </c>
      <c r="D457" s="2">
        <v>431.5</v>
      </c>
      <c r="E457" s="2">
        <v>22.56</v>
      </c>
      <c r="F457" s="11">
        <v>3.1</v>
      </c>
    </row>
    <row r="458" spans="1:6">
      <c r="A458" s="2" t="s">
        <v>1026</v>
      </c>
      <c r="B458" s="2" t="s">
        <v>1025</v>
      </c>
      <c r="C458" s="2" t="s">
        <v>152</v>
      </c>
      <c r="D458" s="2">
        <v>298.3</v>
      </c>
      <c r="E458" s="2">
        <v>17.420000000000002</v>
      </c>
      <c r="F458" s="11">
        <f>13/6</f>
        <v>2.1666666666666665</v>
      </c>
    </row>
    <row r="459" spans="1:6">
      <c r="A459" t="s">
        <v>71</v>
      </c>
      <c r="B459" t="s">
        <v>322</v>
      </c>
      <c r="C459" t="s">
        <v>296</v>
      </c>
      <c r="D459">
        <v>281.7</v>
      </c>
      <c r="E459">
        <v>17.96</v>
      </c>
      <c r="F459" s="10" t="s">
        <v>78</v>
      </c>
    </row>
    <row r="460" spans="1:6">
      <c r="A460" s="2" t="s">
        <v>71</v>
      </c>
      <c r="B460" s="2" t="s">
        <v>241</v>
      </c>
      <c r="C460" s="2" t="s">
        <v>176</v>
      </c>
      <c r="D460" s="2">
        <f>((477.5*4)+(433.3*6))/10</f>
        <v>450.98</v>
      </c>
      <c r="E460" s="2">
        <f>2980/131</f>
        <v>22.748091603053435</v>
      </c>
      <c r="F460" s="11">
        <v>5.4</v>
      </c>
    </row>
    <row r="461" spans="1:6">
      <c r="A461" s="2" t="s">
        <v>71</v>
      </c>
      <c r="B461" s="2" t="s">
        <v>337</v>
      </c>
      <c r="C461" s="2" t="s">
        <v>337</v>
      </c>
      <c r="D461" s="2">
        <f>((353*5)+(255*5))/10</f>
        <v>304</v>
      </c>
      <c r="E461" s="2">
        <f>((1185+820)/(62+49))</f>
        <v>18.063063063063062</v>
      </c>
      <c r="F461" s="11" t="s">
        <v>78</v>
      </c>
    </row>
    <row r="462" spans="1:6">
      <c r="A462" t="s">
        <v>71</v>
      </c>
      <c r="B462" t="s">
        <v>153</v>
      </c>
      <c r="C462" t="s">
        <v>152</v>
      </c>
      <c r="D462">
        <v>337</v>
      </c>
      <c r="E462">
        <v>17.690000000000001</v>
      </c>
      <c r="F462" s="10">
        <v>3.4</v>
      </c>
    </row>
    <row r="463" spans="1:6">
      <c r="A463" t="s">
        <v>71</v>
      </c>
      <c r="B463" t="s">
        <v>407</v>
      </c>
      <c r="C463" t="s">
        <v>382</v>
      </c>
      <c r="D463">
        <v>342.5</v>
      </c>
      <c r="E463">
        <v>18.63</v>
      </c>
      <c r="F463" s="10" t="s">
        <v>78</v>
      </c>
    </row>
    <row r="464" spans="1:6">
      <c r="A464" t="s">
        <v>71</v>
      </c>
      <c r="B464" t="s">
        <v>86</v>
      </c>
      <c r="C464" t="s">
        <v>82</v>
      </c>
      <c r="D464">
        <v>360.8</v>
      </c>
      <c r="E464">
        <v>16.84</v>
      </c>
      <c r="F464" s="10">
        <v>3</v>
      </c>
    </row>
    <row r="465" spans="1:6">
      <c r="A465" s="2" t="s">
        <v>71</v>
      </c>
      <c r="B465" t="s">
        <v>288</v>
      </c>
      <c r="C465" t="s">
        <v>41</v>
      </c>
      <c r="D465">
        <v>334.6</v>
      </c>
      <c r="E465">
        <v>18.05</v>
      </c>
      <c r="F465" s="10">
        <f>33/12</f>
        <v>2.75</v>
      </c>
    </row>
    <row r="466" spans="1:6">
      <c r="A466" t="s">
        <v>71</v>
      </c>
      <c r="B466" t="s">
        <v>65</v>
      </c>
      <c r="C466" t="s">
        <v>47</v>
      </c>
      <c r="D466">
        <v>484.1</v>
      </c>
      <c r="E466">
        <v>22.44</v>
      </c>
      <c r="F466" s="10">
        <f>68/11</f>
        <v>6.1818181818181817</v>
      </c>
    </row>
    <row r="467" spans="1:6">
      <c r="A467" t="s">
        <v>71</v>
      </c>
      <c r="B467" t="s">
        <v>441</v>
      </c>
      <c r="C467" t="s">
        <v>1061</v>
      </c>
      <c r="D467">
        <v>366.8</v>
      </c>
      <c r="E467">
        <v>19.739999999999998</v>
      </c>
      <c r="F467" s="10">
        <f>35/11</f>
        <v>3.1818181818181817</v>
      </c>
    </row>
    <row r="468" spans="1:6">
      <c r="A468" t="s">
        <v>122</v>
      </c>
      <c r="B468" t="s">
        <v>156</v>
      </c>
      <c r="C468" t="s">
        <v>74</v>
      </c>
      <c r="D468">
        <v>378.6</v>
      </c>
      <c r="E468">
        <v>22.14</v>
      </c>
      <c r="F468" s="10">
        <v>5</v>
      </c>
    </row>
    <row r="469" spans="1:6">
      <c r="A469" t="s">
        <v>122</v>
      </c>
      <c r="B469" t="s">
        <v>120</v>
      </c>
      <c r="C469" t="s">
        <v>41</v>
      </c>
      <c r="D469">
        <v>388.3</v>
      </c>
      <c r="E469">
        <v>21.33</v>
      </c>
      <c r="F469" s="10">
        <v>2.6</v>
      </c>
    </row>
    <row r="470" spans="1:6">
      <c r="A470" t="s">
        <v>280</v>
      </c>
      <c r="B470" s="2" t="s">
        <v>1035</v>
      </c>
      <c r="C470" s="2" t="s">
        <v>41</v>
      </c>
      <c r="D470" s="2">
        <v>277.3</v>
      </c>
      <c r="E470" s="2">
        <v>15.99</v>
      </c>
      <c r="F470" s="11">
        <f>28/11</f>
        <v>2.5454545454545454</v>
      </c>
    </row>
    <row r="471" spans="1:6">
      <c r="A471" s="2" t="s">
        <v>1037</v>
      </c>
      <c r="B471" s="2" t="s">
        <v>1035</v>
      </c>
      <c r="C471" s="2" t="s">
        <v>41</v>
      </c>
      <c r="D471" s="2">
        <v>236.5</v>
      </c>
      <c r="E471" s="2">
        <v>16.559999999999999</v>
      </c>
      <c r="F471" s="11">
        <v>0.6</v>
      </c>
    </row>
    <row r="472" spans="1:6">
      <c r="A472" t="s">
        <v>249</v>
      </c>
      <c r="B472" t="s">
        <v>244</v>
      </c>
      <c r="C472" t="s">
        <v>47</v>
      </c>
      <c r="D472">
        <v>359</v>
      </c>
      <c r="E472" t="s">
        <v>78</v>
      </c>
      <c r="F472" s="10" t="s">
        <v>78</v>
      </c>
    </row>
    <row r="473" spans="1:6">
      <c r="A473" t="s">
        <v>294</v>
      </c>
      <c r="B473" t="s">
        <v>295</v>
      </c>
      <c r="C473" t="s">
        <v>296</v>
      </c>
      <c r="D473">
        <v>500</v>
      </c>
      <c r="E473">
        <v>26.94</v>
      </c>
      <c r="F473" s="10" t="s">
        <v>78</v>
      </c>
    </row>
    <row r="474" spans="1:6">
      <c r="A474" s="2" t="s">
        <v>294</v>
      </c>
      <c r="B474" s="2" t="s">
        <v>337</v>
      </c>
      <c r="C474" s="2" t="s">
        <v>337</v>
      </c>
      <c r="D474" s="2">
        <f>((571*5)+(389*5))/10</f>
        <v>480</v>
      </c>
      <c r="E474" s="2">
        <f>((2100+1415)/(80+56))</f>
        <v>25.845588235294116</v>
      </c>
      <c r="F474" s="11" t="s">
        <v>78</v>
      </c>
    </row>
    <row r="475" spans="1:6">
      <c r="A475" s="2" t="s">
        <v>96</v>
      </c>
      <c r="B475" s="2" t="s">
        <v>337</v>
      </c>
      <c r="C475" s="2" t="s">
        <v>337</v>
      </c>
      <c r="D475" s="2">
        <f>((185*5)+(156.7*5))/10</f>
        <v>170.85</v>
      </c>
      <c r="E475" s="2">
        <f>((540+270)/(43+22))</f>
        <v>12.461538461538462</v>
      </c>
      <c r="F475" s="11" t="s">
        <v>78</v>
      </c>
    </row>
    <row r="476" spans="1:6">
      <c r="A476" t="s">
        <v>96</v>
      </c>
      <c r="B476" t="s">
        <v>86</v>
      </c>
      <c r="C476" t="s">
        <v>82</v>
      </c>
      <c r="D476">
        <v>236.7</v>
      </c>
      <c r="E476">
        <v>12.5</v>
      </c>
      <c r="F476" s="10">
        <f>10/6</f>
        <v>1.6666666666666667</v>
      </c>
    </row>
    <row r="477" spans="1:6">
      <c r="A477" t="s">
        <v>53</v>
      </c>
      <c r="B477" t="s">
        <v>51</v>
      </c>
      <c r="C477" t="s">
        <v>47</v>
      </c>
      <c r="D477">
        <v>238.9</v>
      </c>
      <c r="E477">
        <v>18.899999999999999</v>
      </c>
      <c r="F477" s="10">
        <f>26/9</f>
        <v>2.8888888888888888</v>
      </c>
    </row>
    <row r="478" spans="1:6">
      <c r="A478" t="s">
        <v>391</v>
      </c>
      <c r="B478" t="s">
        <v>388</v>
      </c>
      <c r="C478" t="s">
        <v>41</v>
      </c>
      <c r="D478">
        <v>188.6</v>
      </c>
      <c r="E478">
        <v>15.95</v>
      </c>
      <c r="F478" s="10">
        <f>7/11</f>
        <v>0.63636363636363635</v>
      </c>
    </row>
    <row r="479" spans="1:6">
      <c r="A479" s="2" t="s">
        <v>1032</v>
      </c>
      <c r="B479" s="2" t="s">
        <v>1029</v>
      </c>
      <c r="C479" s="2" t="s">
        <v>152</v>
      </c>
      <c r="D479" s="2">
        <v>274</v>
      </c>
      <c r="E479" s="2">
        <v>16.38</v>
      </c>
      <c r="F479" s="11">
        <v>1.9</v>
      </c>
    </row>
    <row r="480" spans="1:6">
      <c r="A480" s="2" t="s">
        <v>536</v>
      </c>
      <c r="B480" s="2" t="s">
        <v>530</v>
      </c>
      <c r="C480" s="2" t="s">
        <v>176</v>
      </c>
      <c r="D480" s="2">
        <v>200.7</v>
      </c>
      <c r="E480" s="2">
        <v>20.43</v>
      </c>
      <c r="F480" s="11">
        <f>6/7</f>
        <v>0.8571428571428571</v>
      </c>
    </row>
    <row r="481" spans="1:6">
      <c r="A481" t="s">
        <v>298</v>
      </c>
      <c r="B481" t="s">
        <v>295</v>
      </c>
      <c r="C481" t="s">
        <v>296</v>
      </c>
      <c r="D481">
        <v>358</v>
      </c>
      <c r="E481">
        <v>22.81</v>
      </c>
      <c r="F481" s="10" t="s">
        <v>78</v>
      </c>
    </row>
    <row r="482" spans="1:6">
      <c r="A482" t="s">
        <v>57</v>
      </c>
      <c r="B482" t="s">
        <v>267</v>
      </c>
      <c r="C482" t="s">
        <v>74</v>
      </c>
      <c r="D482">
        <v>569.5</v>
      </c>
      <c r="E482">
        <v>25.17</v>
      </c>
      <c r="F482" s="10">
        <v>10.8</v>
      </c>
    </row>
    <row r="483" spans="1:6">
      <c r="A483" s="2" t="s">
        <v>57</v>
      </c>
      <c r="B483" s="2" t="s">
        <v>1038</v>
      </c>
      <c r="C483" s="2" t="s">
        <v>1038</v>
      </c>
      <c r="D483" s="2">
        <v>437.7</v>
      </c>
      <c r="E483" s="2">
        <v>24.51</v>
      </c>
      <c r="F483" s="11" t="s">
        <v>78</v>
      </c>
    </row>
    <row r="484" spans="1:6">
      <c r="A484" s="2" t="s">
        <v>57</v>
      </c>
      <c r="B484" s="2" t="s">
        <v>337</v>
      </c>
      <c r="C484" s="2" t="s">
        <v>337</v>
      </c>
      <c r="D484" s="2">
        <f>((562*5)+(332*5))/10</f>
        <v>447</v>
      </c>
      <c r="E484" s="2">
        <f>((2040+1180)/(82+51))</f>
        <v>24.210526315789473</v>
      </c>
      <c r="F484" s="11" t="s">
        <v>78</v>
      </c>
    </row>
    <row r="485" spans="1:6">
      <c r="A485" t="s">
        <v>57</v>
      </c>
      <c r="B485" t="s">
        <v>8</v>
      </c>
      <c r="C485" t="s">
        <v>41</v>
      </c>
      <c r="D485">
        <v>364.5</v>
      </c>
      <c r="E485">
        <v>22.11</v>
      </c>
      <c r="F485" s="10">
        <v>4.8</v>
      </c>
    </row>
    <row r="486" spans="1:6">
      <c r="A486" t="s">
        <v>61</v>
      </c>
      <c r="B486" t="s">
        <v>267</v>
      </c>
      <c r="C486" t="s">
        <v>74</v>
      </c>
      <c r="D486">
        <v>349</v>
      </c>
      <c r="E486">
        <v>17.89</v>
      </c>
      <c r="F486" s="10">
        <v>7.9</v>
      </c>
    </row>
    <row r="487" spans="1:6">
      <c r="A487" s="2" t="s">
        <v>61</v>
      </c>
      <c r="B487" s="2" t="s">
        <v>1038</v>
      </c>
      <c r="C487" s="2" t="s">
        <v>1038</v>
      </c>
      <c r="D487" s="2">
        <v>338.6</v>
      </c>
      <c r="E487" s="2">
        <v>20.63</v>
      </c>
      <c r="F487" s="11" t="s">
        <v>78</v>
      </c>
    </row>
    <row r="488" spans="1:6">
      <c r="A488" s="2" t="s">
        <v>61</v>
      </c>
      <c r="B488" s="2" t="s">
        <v>337</v>
      </c>
      <c r="C488" s="2" t="s">
        <v>337</v>
      </c>
      <c r="D488" s="2">
        <f>((298*5)+(214*5))/10</f>
        <v>256</v>
      </c>
      <c r="E488" s="2">
        <f>((1100+735)/(52+41))</f>
        <v>19.731182795698924</v>
      </c>
      <c r="F488" s="11" t="s">
        <v>78</v>
      </c>
    </row>
    <row r="489" spans="1:6">
      <c r="A489" t="s">
        <v>61</v>
      </c>
      <c r="B489" t="s">
        <v>8</v>
      </c>
      <c r="C489" t="s">
        <v>41</v>
      </c>
      <c r="D489">
        <v>341</v>
      </c>
      <c r="E489">
        <v>21.02</v>
      </c>
      <c r="F489" s="10">
        <f>32/9</f>
        <v>3.5555555555555554</v>
      </c>
    </row>
    <row r="490" spans="1:6">
      <c r="A490" s="2" t="s">
        <v>579</v>
      </c>
      <c r="B490" s="2" t="s">
        <v>1038</v>
      </c>
      <c r="C490" s="2" t="s">
        <v>1038</v>
      </c>
      <c r="D490" s="2">
        <v>243.5</v>
      </c>
      <c r="E490" s="2">
        <v>16.8</v>
      </c>
      <c r="F490" s="11" t="s">
        <v>78</v>
      </c>
    </row>
    <row r="491" spans="1:6">
      <c r="A491" s="2" t="s">
        <v>841</v>
      </c>
      <c r="B491" s="2" t="s">
        <v>1050</v>
      </c>
      <c r="C491" s="2" t="s">
        <v>176</v>
      </c>
      <c r="D491" s="2">
        <v>383.3</v>
      </c>
      <c r="E491" s="2">
        <v>22.39</v>
      </c>
      <c r="F491" s="11" t="s">
        <v>78</v>
      </c>
    </row>
    <row r="492" spans="1:6">
      <c r="A492" s="2" t="s">
        <v>1041</v>
      </c>
      <c r="B492" s="2" t="s">
        <v>1038</v>
      </c>
      <c r="C492" s="2" t="s">
        <v>1038</v>
      </c>
      <c r="D492" s="2">
        <v>201.5</v>
      </c>
      <c r="E492" s="2">
        <v>13.86</v>
      </c>
      <c r="F492" s="11" t="s">
        <v>78</v>
      </c>
    </row>
    <row r="493" spans="1:6">
      <c r="A493" t="s">
        <v>1058</v>
      </c>
      <c r="B493" t="s">
        <v>1056</v>
      </c>
      <c r="C493" t="s">
        <v>152</v>
      </c>
      <c r="D493">
        <v>263</v>
      </c>
      <c r="E493">
        <v>16.11</v>
      </c>
      <c r="F493" s="10">
        <f>19/11</f>
        <v>1.7272727272727273</v>
      </c>
    </row>
    <row r="494" spans="1:6">
      <c r="A494" t="s">
        <v>79</v>
      </c>
      <c r="B494" t="s">
        <v>76</v>
      </c>
      <c r="C494" t="s">
        <v>77</v>
      </c>
      <c r="D494">
        <v>279.39999999999998</v>
      </c>
      <c r="E494">
        <v>15.99</v>
      </c>
      <c r="F494" s="10" t="s">
        <v>78</v>
      </c>
    </row>
    <row r="495" spans="1:6">
      <c r="A495" s="2" t="s">
        <v>79</v>
      </c>
      <c r="B495" s="2" t="s">
        <v>1013</v>
      </c>
      <c r="C495" s="2" t="s">
        <v>41</v>
      </c>
      <c r="D495" s="2">
        <v>259.5</v>
      </c>
      <c r="E495" s="2">
        <v>14.26</v>
      </c>
      <c r="F495" s="11">
        <v>0.9</v>
      </c>
    </row>
    <row r="496" spans="1:6">
      <c r="A496" t="s">
        <v>98</v>
      </c>
      <c r="B496" t="s">
        <v>97</v>
      </c>
      <c r="C496" t="s">
        <v>41</v>
      </c>
      <c r="D496">
        <v>350</v>
      </c>
      <c r="E496">
        <v>21.03</v>
      </c>
      <c r="F496" s="10">
        <v>3.5</v>
      </c>
    </row>
    <row r="497" spans="1:6">
      <c r="A497" t="s">
        <v>374</v>
      </c>
      <c r="B497" t="s">
        <v>373</v>
      </c>
      <c r="C497" t="s">
        <v>337</v>
      </c>
      <c r="D497">
        <v>370</v>
      </c>
      <c r="E497">
        <v>19.690000000000001</v>
      </c>
      <c r="F497" s="10" t="s">
        <v>78</v>
      </c>
    </row>
    <row r="498" spans="1:6">
      <c r="A498" t="s">
        <v>372</v>
      </c>
      <c r="B498" t="s">
        <v>373</v>
      </c>
      <c r="C498" t="s">
        <v>337</v>
      </c>
      <c r="D498">
        <v>293.3</v>
      </c>
      <c r="E498">
        <v>18.059999999999999</v>
      </c>
      <c r="F498" s="10" t="s">
        <v>78</v>
      </c>
    </row>
    <row r="499" spans="1:6">
      <c r="A499" t="s">
        <v>314</v>
      </c>
      <c r="B499" t="s">
        <v>312</v>
      </c>
      <c r="C499" t="s">
        <v>296</v>
      </c>
      <c r="D499">
        <v>148.9</v>
      </c>
      <c r="E499">
        <v>11.69</v>
      </c>
      <c r="F499" s="10" t="s">
        <v>78</v>
      </c>
    </row>
    <row r="500" spans="1:6">
      <c r="A500" s="2" t="s">
        <v>1033</v>
      </c>
      <c r="B500" s="2" t="s">
        <v>1034</v>
      </c>
      <c r="C500" s="2" t="s">
        <v>47</v>
      </c>
      <c r="D500" s="2">
        <v>402.5</v>
      </c>
      <c r="E500" s="2">
        <v>21.15</v>
      </c>
      <c r="F500" s="11">
        <v>5.3</v>
      </c>
    </row>
    <row r="501" spans="1:6">
      <c r="A501" t="s">
        <v>1068</v>
      </c>
      <c r="B501" t="s">
        <v>1060</v>
      </c>
      <c r="C501" t="s">
        <v>1061</v>
      </c>
      <c r="D501">
        <f>((289.3*7)+(217.5*2))/9</f>
        <v>273.34444444444449</v>
      </c>
      <c r="E501">
        <f>((1280+240)/(74+19))</f>
        <v>16.344086021505376</v>
      </c>
      <c r="F501" s="10">
        <f>15/9</f>
        <v>1.6666666666666667</v>
      </c>
    </row>
    <row r="502" spans="1:6">
      <c r="A502" t="s">
        <v>99</v>
      </c>
      <c r="B502" t="s">
        <v>97</v>
      </c>
      <c r="C502" t="s">
        <v>41</v>
      </c>
      <c r="D502">
        <v>353</v>
      </c>
      <c r="E502">
        <v>21.56</v>
      </c>
      <c r="F502" s="10">
        <v>3.4</v>
      </c>
    </row>
    <row r="503" spans="1:6">
      <c r="A503" t="s">
        <v>259</v>
      </c>
      <c r="B503" t="s">
        <v>257</v>
      </c>
      <c r="C503" t="s">
        <v>74</v>
      </c>
      <c r="D503">
        <v>410.9</v>
      </c>
      <c r="E503">
        <v>21.63</v>
      </c>
      <c r="F503" s="10">
        <v>5.73</v>
      </c>
    </row>
    <row r="504" spans="1:6">
      <c r="A504" t="s">
        <v>260</v>
      </c>
      <c r="B504" t="s">
        <v>257</v>
      </c>
      <c r="C504" t="s">
        <v>74</v>
      </c>
      <c r="D504">
        <v>275.5</v>
      </c>
      <c r="E504">
        <v>16.8</v>
      </c>
      <c r="F504" s="10">
        <v>3.55</v>
      </c>
    </row>
    <row r="505" spans="1:6">
      <c r="A505" t="s">
        <v>1063</v>
      </c>
      <c r="B505" t="s">
        <v>1060</v>
      </c>
      <c r="C505" t="s">
        <v>1061</v>
      </c>
      <c r="D505">
        <f>((218.6*7)+(197.55*2))/9</f>
        <v>213.92222222222225</v>
      </c>
      <c r="E505">
        <f>((955+230)/(63+16))</f>
        <v>15</v>
      </c>
      <c r="F505" s="10">
        <f>8/9</f>
        <v>0.88888888888888884</v>
      </c>
    </row>
    <row r="506" spans="1:6">
      <c r="A506" t="s">
        <v>1062</v>
      </c>
      <c r="B506" t="s">
        <v>1060</v>
      </c>
      <c r="C506" t="s">
        <v>1061</v>
      </c>
      <c r="D506">
        <f>((275*7)+(273.75*4))/11</f>
        <v>274.54545454545456</v>
      </c>
      <c r="E506">
        <f>((1205+705)/(72+38))</f>
        <v>17.363636363636363</v>
      </c>
      <c r="F506" s="10">
        <f>((10+8)/11)</f>
        <v>1.6363636363636365</v>
      </c>
    </row>
    <row r="507" spans="1:6">
      <c r="A507" t="s">
        <v>273</v>
      </c>
      <c r="B507" t="s">
        <v>49</v>
      </c>
      <c r="C507" t="s">
        <v>152</v>
      </c>
      <c r="D507">
        <v>294.39999999999998</v>
      </c>
      <c r="E507">
        <v>16.37</v>
      </c>
      <c r="F507" s="10">
        <f>13/8</f>
        <v>1.625</v>
      </c>
    </row>
    <row r="508" spans="1:6">
      <c r="A508" s="2" t="s">
        <v>149</v>
      </c>
      <c r="B508" t="s">
        <v>132</v>
      </c>
      <c r="C508" t="s">
        <v>41</v>
      </c>
      <c r="D508">
        <v>314.10000000000002</v>
      </c>
      <c r="E508">
        <v>14.1</v>
      </c>
      <c r="F508" s="10">
        <v>0.82</v>
      </c>
    </row>
    <row r="509" spans="1:6">
      <c r="A509" t="s">
        <v>149</v>
      </c>
      <c r="B509" t="s">
        <v>377</v>
      </c>
      <c r="C509" t="s">
        <v>176</v>
      </c>
      <c r="D509">
        <v>372.5</v>
      </c>
      <c r="E509">
        <v>20.100000000000001</v>
      </c>
      <c r="F509" s="10">
        <f>30/12</f>
        <v>2.5</v>
      </c>
    </row>
    <row r="510" spans="1:6">
      <c r="A510" t="s">
        <v>265</v>
      </c>
      <c r="B510" t="s">
        <v>263</v>
      </c>
      <c r="C510" t="s">
        <v>82</v>
      </c>
      <c r="D510">
        <v>297.8</v>
      </c>
      <c r="E510">
        <v>16.32</v>
      </c>
      <c r="F510" s="10">
        <f>16/9</f>
        <v>1.7777777777777777</v>
      </c>
    </row>
    <row r="511" spans="1:6">
      <c r="A511" s="2" t="s">
        <v>265</v>
      </c>
      <c r="B511" s="2" t="s">
        <v>1029</v>
      </c>
      <c r="C511" s="2" t="s">
        <v>152</v>
      </c>
      <c r="D511" s="2">
        <v>363</v>
      </c>
      <c r="E511" s="2">
        <v>18.66</v>
      </c>
      <c r="F511" s="11">
        <v>3.7</v>
      </c>
    </row>
    <row r="512" spans="1:6">
      <c r="A512" t="s">
        <v>265</v>
      </c>
      <c r="B512" t="s">
        <v>1074</v>
      </c>
      <c r="C512" t="s">
        <v>1038</v>
      </c>
      <c r="D512">
        <v>225</v>
      </c>
      <c r="E512">
        <v>16</v>
      </c>
      <c r="F512" s="10" t="s">
        <v>78</v>
      </c>
    </row>
    <row r="513" spans="1:6">
      <c r="A513" t="s">
        <v>305</v>
      </c>
      <c r="B513" t="s">
        <v>302</v>
      </c>
      <c r="C513" t="s">
        <v>176</v>
      </c>
      <c r="D513">
        <v>466.4</v>
      </c>
      <c r="E513">
        <v>23.4</v>
      </c>
      <c r="F513" s="10">
        <f>32/7</f>
        <v>4.5714285714285712</v>
      </c>
    </row>
    <row r="514" spans="1:6">
      <c r="A514" t="s">
        <v>304</v>
      </c>
      <c r="B514" t="s">
        <v>302</v>
      </c>
      <c r="C514" t="s">
        <v>176</v>
      </c>
      <c r="D514">
        <v>352.1</v>
      </c>
      <c r="E514">
        <v>21.78</v>
      </c>
      <c r="F514" s="10">
        <v>4</v>
      </c>
    </row>
    <row r="515" spans="1:6">
      <c r="A515" t="s">
        <v>272</v>
      </c>
      <c r="B515" t="s">
        <v>267</v>
      </c>
      <c r="C515" t="s">
        <v>74</v>
      </c>
      <c r="D515">
        <v>234</v>
      </c>
      <c r="E515">
        <v>17.899999999999999</v>
      </c>
      <c r="F515" s="10">
        <v>2.4</v>
      </c>
    </row>
    <row r="516" spans="1:6">
      <c r="A516" t="s">
        <v>272</v>
      </c>
      <c r="B516" t="s">
        <v>1056</v>
      </c>
      <c r="C516" t="s">
        <v>152</v>
      </c>
      <c r="D516">
        <v>259.10000000000002</v>
      </c>
      <c r="E516">
        <v>17.75</v>
      </c>
      <c r="F516" s="10">
        <f>20/11</f>
        <v>1.8181818181818181</v>
      </c>
    </row>
    <row r="517" spans="1:6">
      <c r="A517" t="s">
        <v>60</v>
      </c>
      <c r="B517" t="s">
        <v>267</v>
      </c>
      <c r="C517" t="s">
        <v>74</v>
      </c>
      <c r="D517">
        <v>417.2</v>
      </c>
      <c r="E517">
        <v>22.61</v>
      </c>
      <c r="F517" s="10">
        <f>68/9</f>
        <v>7.5555555555555554</v>
      </c>
    </row>
    <row r="518" spans="1:6">
      <c r="A518" t="s">
        <v>60</v>
      </c>
      <c r="B518" t="s">
        <v>8</v>
      </c>
      <c r="C518" t="s">
        <v>41</v>
      </c>
      <c r="D518">
        <v>376</v>
      </c>
      <c r="E518">
        <v>21.45</v>
      </c>
      <c r="F518" s="10">
        <f>30/9</f>
        <v>3.3333333333333335</v>
      </c>
    </row>
    <row r="519" spans="1:6">
      <c r="A519" t="s">
        <v>193</v>
      </c>
      <c r="B519" t="s">
        <v>195</v>
      </c>
      <c r="C519" t="s">
        <v>194</v>
      </c>
      <c r="D519">
        <v>322.5</v>
      </c>
      <c r="E519">
        <v>17.91</v>
      </c>
      <c r="F519" s="10">
        <v>2.42</v>
      </c>
    </row>
    <row r="520" spans="1:6">
      <c r="A520" t="s">
        <v>193</v>
      </c>
      <c r="B520" t="s">
        <v>1053</v>
      </c>
      <c r="C520" t="s">
        <v>412</v>
      </c>
      <c r="D520">
        <v>532</v>
      </c>
      <c r="E520">
        <v>22.44</v>
      </c>
      <c r="F520" s="10" t="s">
        <v>78</v>
      </c>
    </row>
    <row r="521" spans="1:6">
      <c r="A521" t="s">
        <v>264</v>
      </c>
      <c r="B521" t="s">
        <v>263</v>
      </c>
      <c r="C521" t="s">
        <v>82</v>
      </c>
      <c r="D521">
        <v>214.5</v>
      </c>
      <c r="E521">
        <v>13.62</v>
      </c>
      <c r="F521" s="10">
        <f>23/11</f>
        <v>2.0909090909090908</v>
      </c>
    </row>
    <row r="522" spans="1:6">
      <c r="A522" s="2" t="s">
        <v>264</v>
      </c>
      <c r="B522" s="2" t="s">
        <v>1029</v>
      </c>
      <c r="C522" s="2" t="s">
        <v>152</v>
      </c>
      <c r="D522" s="2">
        <v>301</v>
      </c>
      <c r="E522" s="2">
        <v>18.04</v>
      </c>
      <c r="F522" s="11">
        <v>1.5</v>
      </c>
    </row>
    <row r="523" spans="1:6">
      <c r="A523" s="2" t="s">
        <v>285</v>
      </c>
      <c r="B523" s="2" t="s">
        <v>1035</v>
      </c>
      <c r="C523" s="2" t="s">
        <v>41</v>
      </c>
      <c r="D523" s="2">
        <v>317.3</v>
      </c>
      <c r="E523" s="2">
        <v>19.2</v>
      </c>
      <c r="F523" s="11">
        <f>33/11</f>
        <v>3</v>
      </c>
    </row>
    <row r="524" spans="1:6">
      <c r="A524" s="2" t="s">
        <v>285</v>
      </c>
      <c r="B524" s="2" t="s">
        <v>215</v>
      </c>
      <c r="C524" s="2" t="s">
        <v>47</v>
      </c>
      <c r="D524" s="2">
        <f>3520/8</f>
        <v>440</v>
      </c>
      <c r="E524" s="2">
        <v>22.31</v>
      </c>
      <c r="F524" s="11">
        <f>45/8</f>
        <v>5.625</v>
      </c>
    </row>
    <row r="525" spans="1:6">
      <c r="A525" s="2" t="s">
        <v>967</v>
      </c>
      <c r="B525" s="2" t="s">
        <v>1035</v>
      </c>
      <c r="C525" s="2" t="s">
        <v>41</v>
      </c>
      <c r="D525" s="2">
        <v>225</v>
      </c>
      <c r="E525" s="2">
        <v>13.99</v>
      </c>
      <c r="F525" s="11">
        <f>14/11</f>
        <v>1.2727272727272727</v>
      </c>
    </row>
    <row r="526" spans="1:6">
      <c r="A526" t="s">
        <v>88</v>
      </c>
      <c r="B526" t="s">
        <v>86</v>
      </c>
      <c r="C526" t="s">
        <v>82</v>
      </c>
      <c r="D526">
        <v>283.3</v>
      </c>
      <c r="E526">
        <v>16.149999999999999</v>
      </c>
      <c r="F526" s="10">
        <f>9/6</f>
        <v>1.5</v>
      </c>
    </row>
    <row r="527" spans="1:6">
      <c r="A527" t="s">
        <v>370</v>
      </c>
      <c r="B527" t="s">
        <v>368</v>
      </c>
      <c r="C527" t="s">
        <v>152</v>
      </c>
      <c r="D527">
        <v>274.60000000000002</v>
      </c>
      <c r="E527">
        <v>14.2</v>
      </c>
      <c r="F527" s="10">
        <f>14/12</f>
        <v>1.1666666666666667</v>
      </c>
    </row>
    <row r="528" spans="1:6">
      <c r="A528" t="s">
        <v>252</v>
      </c>
      <c r="B528" t="s">
        <v>244</v>
      </c>
      <c r="C528" t="s">
        <v>47</v>
      </c>
      <c r="D528">
        <v>343</v>
      </c>
      <c r="E528" t="s">
        <v>78</v>
      </c>
      <c r="F528" s="10" t="s">
        <v>78</v>
      </c>
    </row>
    <row r="529" spans="1:6">
      <c r="A529" s="2" t="s">
        <v>535</v>
      </c>
      <c r="B529" s="2" t="s">
        <v>530</v>
      </c>
      <c r="C529" s="2" t="s">
        <v>176</v>
      </c>
      <c r="D529" s="2">
        <v>192.1</v>
      </c>
      <c r="E529" s="2">
        <v>17.14</v>
      </c>
      <c r="F529" s="11">
        <f>6/7</f>
        <v>0.8571428571428571</v>
      </c>
    </row>
    <row r="530" spans="1:6">
      <c r="A530" t="s">
        <v>327</v>
      </c>
      <c r="B530" t="s">
        <v>324</v>
      </c>
      <c r="C530" t="s">
        <v>74</v>
      </c>
      <c r="D530">
        <v>216.5</v>
      </c>
      <c r="E530">
        <v>14.37</v>
      </c>
      <c r="F530" s="10">
        <v>1.6</v>
      </c>
    </row>
    <row r="531" spans="1:6">
      <c r="A531" t="s">
        <v>1075</v>
      </c>
      <c r="B531" t="s">
        <v>1074</v>
      </c>
      <c r="C531" t="s">
        <v>1038</v>
      </c>
      <c r="D531">
        <v>227.2</v>
      </c>
      <c r="E531">
        <v>17.600000000000001</v>
      </c>
      <c r="F531" s="10" t="s">
        <v>78</v>
      </c>
    </row>
    <row r="532" spans="1:6">
      <c r="A532" t="s">
        <v>329</v>
      </c>
      <c r="B532" t="s">
        <v>324</v>
      </c>
      <c r="C532" t="s">
        <v>74</v>
      </c>
      <c r="D532">
        <v>320</v>
      </c>
      <c r="E532">
        <v>18.79</v>
      </c>
      <c r="F532" s="10">
        <v>3.3</v>
      </c>
    </row>
    <row r="533" spans="1:6">
      <c r="A533" t="s">
        <v>69</v>
      </c>
      <c r="B533" t="s">
        <v>153</v>
      </c>
      <c r="C533" t="s">
        <v>152</v>
      </c>
      <c r="D533">
        <v>351.5</v>
      </c>
      <c r="E533">
        <v>19.329999999999998</v>
      </c>
      <c r="F533" s="10">
        <v>1.7</v>
      </c>
    </row>
    <row r="534" spans="1:6">
      <c r="A534" t="s">
        <v>69</v>
      </c>
      <c r="B534" t="s">
        <v>65</v>
      </c>
      <c r="C534" t="s">
        <v>47</v>
      </c>
      <c r="D534">
        <v>376.1</v>
      </c>
      <c r="E534">
        <v>20.98</v>
      </c>
      <c r="F534" s="10">
        <f>35/9</f>
        <v>3.8888888888888888</v>
      </c>
    </row>
    <row r="535" spans="1:6">
      <c r="A535" s="5" t="s">
        <v>540</v>
      </c>
      <c r="B535" s="5" t="s">
        <v>539</v>
      </c>
      <c r="C535" s="5" t="s">
        <v>41</v>
      </c>
      <c r="D535" s="5">
        <v>514.29999999999995</v>
      </c>
      <c r="E535" s="5">
        <v>24.75</v>
      </c>
      <c r="F535" s="9">
        <f>34/7</f>
        <v>4.8571428571428568</v>
      </c>
    </row>
    <row r="536" spans="1:6">
      <c r="A536" s="5" t="s">
        <v>541</v>
      </c>
      <c r="B536" s="5" t="s">
        <v>539</v>
      </c>
      <c r="C536" s="5" t="s">
        <v>41</v>
      </c>
      <c r="D536" s="5">
        <v>366.9</v>
      </c>
      <c r="E536" s="5">
        <v>20.13</v>
      </c>
      <c r="F536" s="9">
        <f>27/8</f>
        <v>3.375</v>
      </c>
    </row>
    <row r="537" spans="1:6">
      <c r="A537" s="5" t="s">
        <v>544</v>
      </c>
      <c r="B537" s="5" t="s">
        <v>539</v>
      </c>
      <c r="C537" s="5" t="s">
        <v>41</v>
      </c>
      <c r="D537" s="5">
        <v>473.6</v>
      </c>
      <c r="E537" s="5">
        <v>20</v>
      </c>
      <c r="F537" s="9">
        <f>32/7</f>
        <v>4.5714285714285712</v>
      </c>
    </row>
    <row r="538" spans="1:6">
      <c r="A538" t="s">
        <v>350</v>
      </c>
      <c r="B538" t="s">
        <v>407</v>
      </c>
      <c r="C538" t="s">
        <v>382</v>
      </c>
      <c r="D538">
        <v>306.5</v>
      </c>
      <c r="E538">
        <v>17.54</v>
      </c>
      <c r="F538" s="10" t="s">
        <v>78</v>
      </c>
    </row>
    <row r="539" spans="1:6">
      <c r="A539" t="s">
        <v>350</v>
      </c>
      <c r="B539" t="s">
        <v>348</v>
      </c>
      <c r="C539" t="s">
        <v>337</v>
      </c>
      <c r="D539">
        <f>((315*5)+(155.8*6))/11</f>
        <v>228.16363636363639</v>
      </c>
      <c r="E539">
        <f>((780+620)/(52+38))</f>
        <v>15.555555555555555</v>
      </c>
      <c r="F539" s="10" t="s">
        <v>78</v>
      </c>
    </row>
    <row r="540" spans="1:6">
      <c r="A540" t="s">
        <v>349</v>
      </c>
      <c r="B540" t="s">
        <v>407</v>
      </c>
      <c r="C540" t="s">
        <v>382</v>
      </c>
      <c r="D540">
        <v>267.5</v>
      </c>
      <c r="E540">
        <v>16.75</v>
      </c>
      <c r="F540" s="10" t="s">
        <v>78</v>
      </c>
    </row>
    <row r="541" spans="1:6">
      <c r="A541" t="s">
        <v>349</v>
      </c>
      <c r="B541" t="s">
        <v>348</v>
      </c>
      <c r="C541" t="s">
        <v>337</v>
      </c>
      <c r="D541">
        <f>((274*5)+(134*5))/10</f>
        <v>204</v>
      </c>
      <c r="E541">
        <f>((830+410)/(58+32))</f>
        <v>13.777777777777779</v>
      </c>
      <c r="F541" s="10" t="s">
        <v>78</v>
      </c>
    </row>
    <row r="542" spans="1:6">
      <c r="A542" t="s">
        <v>411</v>
      </c>
      <c r="B542" t="s">
        <v>407</v>
      </c>
      <c r="C542" t="s">
        <v>382</v>
      </c>
      <c r="D542">
        <v>222.5</v>
      </c>
      <c r="E542">
        <v>14.74</v>
      </c>
      <c r="F542" s="10" t="s">
        <v>78</v>
      </c>
    </row>
    <row r="543" spans="1:6">
      <c r="A543" s="2" t="s">
        <v>289</v>
      </c>
      <c r="B543" t="s">
        <v>288</v>
      </c>
      <c r="C543" t="s">
        <v>41</v>
      </c>
      <c r="D543">
        <v>279.5</v>
      </c>
      <c r="E543">
        <v>16.48</v>
      </c>
      <c r="F543" s="10">
        <v>1.7</v>
      </c>
    </row>
    <row r="544" spans="1:6">
      <c r="A544" t="s">
        <v>289</v>
      </c>
      <c r="B544" t="s">
        <v>1056</v>
      </c>
      <c r="C544" t="s">
        <v>152</v>
      </c>
      <c r="D544">
        <v>236</v>
      </c>
      <c r="E544">
        <v>19.260000000000002</v>
      </c>
      <c r="F544" s="10">
        <f>25/11</f>
        <v>2.2727272727272729</v>
      </c>
    </row>
    <row r="545" spans="1:6">
      <c r="A545" t="s">
        <v>289</v>
      </c>
      <c r="B545" t="s">
        <v>441</v>
      </c>
      <c r="C545" t="s">
        <v>1061</v>
      </c>
      <c r="D545">
        <v>294.5</v>
      </c>
      <c r="E545">
        <v>17.690000000000001</v>
      </c>
      <c r="F545" s="10">
        <v>2.5</v>
      </c>
    </row>
    <row r="546" spans="1:6">
      <c r="A546" t="s">
        <v>251</v>
      </c>
      <c r="B546" t="s">
        <v>338</v>
      </c>
      <c r="C546" t="s">
        <v>337</v>
      </c>
      <c r="D546">
        <f>((271.7*6)+(190*2))/8</f>
        <v>251.27499999999998</v>
      </c>
      <c r="E546">
        <f>((980+220)/(65+16))</f>
        <v>14.814814814814815</v>
      </c>
      <c r="F546" s="10" t="s">
        <v>78</v>
      </c>
    </row>
    <row r="547" spans="1:6">
      <c r="A547" t="s">
        <v>251</v>
      </c>
      <c r="B547" t="s">
        <v>244</v>
      </c>
      <c r="C547" t="s">
        <v>47</v>
      </c>
      <c r="D547">
        <v>361</v>
      </c>
      <c r="E547" t="s">
        <v>78</v>
      </c>
      <c r="F547" s="10" t="s">
        <v>78</v>
      </c>
    </row>
  </sheetData>
  <autoFilter ref="A1:C547">
    <filterColumn colId="0"/>
    <filterColumn colId="2"/>
  </autoFilter>
  <sortState ref="A2:F556">
    <sortCondition ref="A400"/>
  </sortState>
  <pageMargins left="0.7" right="0.7" top="0.75" bottom="0.75" header="0.3" footer="0.3"/>
  <pageSetup orientation="portrait" horizontalDpi="4294967293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G21" sqref="G21"/>
    </sheetView>
  </sheetViews>
  <sheetFormatPr defaultRowHeight="15"/>
  <cols>
    <col min="1" max="1" width="20.42578125" bestFit="1" customWidth="1"/>
    <col min="2" max="2" width="18.85546875" bestFit="1" customWidth="1"/>
    <col min="3" max="3" width="11.28515625" bestFit="1" customWidth="1"/>
    <col min="4" max="5" width="6" bestFit="1" customWidth="1"/>
    <col min="6" max="6" width="5.5703125" bestFit="1" customWidth="1"/>
  </cols>
  <sheetData>
    <row r="1" spans="1:7">
      <c r="A1" s="5" t="s">
        <v>35</v>
      </c>
      <c r="B1" s="5" t="s">
        <v>36</v>
      </c>
      <c r="C1" s="5" t="s">
        <v>37</v>
      </c>
      <c r="D1" s="5" t="s">
        <v>38</v>
      </c>
      <c r="E1" s="5" t="s">
        <v>39</v>
      </c>
      <c r="F1" s="9" t="s">
        <v>40</v>
      </c>
    </row>
    <row r="2" spans="1:7">
      <c r="A2" t="s">
        <v>66</v>
      </c>
      <c r="B2" t="s">
        <v>407</v>
      </c>
      <c r="C2" t="s">
        <v>382</v>
      </c>
      <c r="D2">
        <v>282.5</v>
      </c>
      <c r="E2">
        <v>17.18</v>
      </c>
      <c r="F2" s="10" t="s">
        <v>78</v>
      </c>
    </row>
    <row r="3" spans="1:7">
      <c r="A3" t="s">
        <v>66</v>
      </c>
      <c r="B3" t="s">
        <v>153</v>
      </c>
      <c r="C3" t="s">
        <v>152</v>
      </c>
      <c r="D3">
        <v>295.5</v>
      </c>
      <c r="E3">
        <v>16.91</v>
      </c>
      <c r="F3" s="10">
        <v>2.7</v>
      </c>
      <c r="G3">
        <v>0.27</v>
      </c>
    </row>
    <row r="4" spans="1:7">
      <c r="A4" t="s">
        <v>271</v>
      </c>
      <c r="B4" t="s">
        <v>407</v>
      </c>
      <c r="C4" t="s">
        <v>382</v>
      </c>
      <c r="D4">
        <v>227.5</v>
      </c>
      <c r="E4">
        <v>15.21</v>
      </c>
      <c r="F4" s="10" t="s">
        <v>78</v>
      </c>
    </row>
    <row r="5" spans="1:7">
      <c r="A5" t="s">
        <v>271</v>
      </c>
      <c r="B5" t="s">
        <v>267</v>
      </c>
      <c r="C5" t="s">
        <v>74</v>
      </c>
      <c r="D5">
        <v>321.2</v>
      </c>
      <c r="E5">
        <v>16.850000000000001</v>
      </c>
      <c r="F5" s="10">
        <v>3</v>
      </c>
      <c r="G5">
        <v>-1.64</v>
      </c>
    </row>
    <row r="6" spans="1:7">
      <c r="A6" t="s">
        <v>70</v>
      </c>
      <c r="B6" t="s">
        <v>407</v>
      </c>
      <c r="C6" t="s">
        <v>382</v>
      </c>
      <c r="D6">
        <v>281</v>
      </c>
      <c r="E6">
        <v>17.809999999999999</v>
      </c>
      <c r="F6" s="10" t="s">
        <v>78</v>
      </c>
    </row>
    <row r="7" spans="1:7">
      <c r="A7" t="s">
        <v>70</v>
      </c>
      <c r="B7" t="s">
        <v>288</v>
      </c>
      <c r="C7" t="s">
        <v>41</v>
      </c>
      <c r="D7">
        <v>289.5</v>
      </c>
      <c r="E7">
        <v>18.23</v>
      </c>
      <c r="F7" s="10">
        <f>21/11</f>
        <v>1.9090909090909092</v>
      </c>
      <c r="G7">
        <v>-0.42</v>
      </c>
    </row>
    <row r="8" spans="1:7">
      <c r="A8" s="2" t="s">
        <v>87</v>
      </c>
      <c r="B8" s="2" t="s">
        <v>392</v>
      </c>
      <c r="C8" s="2" t="s">
        <v>382</v>
      </c>
      <c r="D8" s="2">
        <v>414.2</v>
      </c>
      <c r="E8" s="2">
        <v>24</v>
      </c>
      <c r="F8" s="11" t="s">
        <v>78</v>
      </c>
    </row>
    <row r="9" spans="1:7">
      <c r="A9" t="s">
        <v>87</v>
      </c>
      <c r="B9" t="s">
        <v>288</v>
      </c>
      <c r="C9" t="s">
        <v>41</v>
      </c>
      <c r="D9">
        <v>475.4</v>
      </c>
      <c r="E9">
        <v>22.18</v>
      </c>
      <c r="F9" s="10">
        <v>6</v>
      </c>
      <c r="G9">
        <v>1.82</v>
      </c>
    </row>
    <row r="10" spans="1:7">
      <c r="A10" t="s">
        <v>72</v>
      </c>
      <c r="B10" t="s">
        <v>392</v>
      </c>
      <c r="C10" t="s">
        <v>382</v>
      </c>
      <c r="D10">
        <v>229</v>
      </c>
      <c r="E10">
        <v>19.2</v>
      </c>
      <c r="F10" s="10" t="s">
        <v>78</v>
      </c>
    </row>
    <row r="11" spans="1:7">
      <c r="A11" t="s">
        <v>72</v>
      </c>
      <c r="B11" t="s">
        <v>288</v>
      </c>
      <c r="C11" t="s">
        <v>41</v>
      </c>
      <c r="D11">
        <v>315.5</v>
      </c>
      <c r="E11">
        <v>18.510000000000002</v>
      </c>
      <c r="F11" s="10">
        <f>29/12</f>
        <v>2.4166666666666665</v>
      </c>
      <c r="G11">
        <v>0.69</v>
      </c>
    </row>
    <row r="12" spans="1:7">
      <c r="A12" t="s">
        <v>393</v>
      </c>
      <c r="B12" t="s">
        <v>392</v>
      </c>
      <c r="C12" t="s">
        <v>382</v>
      </c>
      <c r="D12">
        <v>462.5</v>
      </c>
      <c r="E12">
        <v>25.97</v>
      </c>
      <c r="F12" s="10" t="s">
        <v>78</v>
      </c>
    </row>
    <row r="13" spans="1:7">
      <c r="A13" s="2" t="s">
        <v>393</v>
      </c>
      <c r="B13" s="2" t="s">
        <v>1025</v>
      </c>
      <c r="C13" s="2" t="s">
        <v>152</v>
      </c>
      <c r="D13" s="2">
        <v>489</v>
      </c>
      <c r="E13" s="2">
        <v>22.45</v>
      </c>
      <c r="F13" s="11">
        <v>8.3000000000000007</v>
      </c>
      <c r="G13" s="2">
        <v>3.52</v>
      </c>
    </row>
    <row r="14" spans="1:7">
      <c r="A14" t="s">
        <v>121</v>
      </c>
      <c r="B14" t="s">
        <v>392</v>
      </c>
      <c r="C14" t="s">
        <v>382</v>
      </c>
      <c r="D14">
        <v>322.5</v>
      </c>
      <c r="E14">
        <v>21.12</v>
      </c>
      <c r="F14" s="10" t="s">
        <v>78</v>
      </c>
    </row>
    <row r="15" spans="1:7">
      <c r="A15" s="2" t="s">
        <v>121</v>
      </c>
      <c r="B15" s="2" t="s">
        <v>1025</v>
      </c>
      <c r="C15" s="2" t="s">
        <v>152</v>
      </c>
      <c r="D15" s="2">
        <v>346.4</v>
      </c>
      <c r="E15" s="2">
        <v>16.57</v>
      </c>
      <c r="F15" s="11">
        <v>3</v>
      </c>
      <c r="G15" s="2">
        <v>4.55</v>
      </c>
    </row>
    <row r="16" spans="1:7">
      <c r="A16" t="s">
        <v>408</v>
      </c>
      <c r="B16" t="s">
        <v>407</v>
      </c>
      <c r="C16" t="s">
        <v>382</v>
      </c>
      <c r="D16">
        <v>464</v>
      </c>
      <c r="E16">
        <v>22.55</v>
      </c>
      <c r="F16" s="10" t="s">
        <v>78</v>
      </c>
    </row>
    <row r="17" spans="1:7">
      <c r="A17" t="s">
        <v>58</v>
      </c>
      <c r="B17" t="s">
        <v>441</v>
      </c>
      <c r="C17" t="s">
        <v>1061</v>
      </c>
      <c r="D17">
        <v>507.7</v>
      </c>
      <c r="E17">
        <v>24.46</v>
      </c>
      <c r="F17" s="10">
        <f>57/11</f>
        <v>5.1818181818181817</v>
      </c>
      <c r="G17">
        <v>-1.91</v>
      </c>
    </row>
    <row r="18" spans="1:7">
      <c r="A18" t="s">
        <v>56</v>
      </c>
      <c r="B18" t="s">
        <v>407</v>
      </c>
      <c r="C18" t="s">
        <v>382</v>
      </c>
      <c r="D18">
        <v>482.5</v>
      </c>
      <c r="E18">
        <v>23</v>
      </c>
      <c r="F18" s="10" t="s">
        <v>78</v>
      </c>
    </row>
    <row r="19" spans="1:7">
      <c r="A19" t="s">
        <v>56</v>
      </c>
      <c r="B19" t="s">
        <v>267</v>
      </c>
      <c r="C19" t="s">
        <v>74</v>
      </c>
      <c r="D19">
        <v>461.5</v>
      </c>
      <c r="E19">
        <v>23.04</v>
      </c>
      <c r="F19" s="10">
        <v>9.1999999999999993</v>
      </c>
      <c r="G19">
        <v>-0.04</v>
      </c>
    </row>
    <row r="20" spans="1:7">
      <c r="A20" t="s">
        <v>71</v>
      </c>
      <c r="B20" t="s">
        <v>407</v>
      </c>
      <c r="C20" t="s">
        <v>382</v>
      </c>
      <c r="D20">
        <v>342.5</v>
      </c>
      <c r="E20">
        <v>18.63</v>
      </c>
      <c r="F20" s="10" t="s">
        <v>78</v>
      </c>
    </row>
    <row r="21" spans="1:7">
      <c r="A21" t="s">
        <v>71</v>
      </c>
      <c r="B21" t="s">
        <v>441</v>
      </c>
      <c r="C21" t="s">
        <v>1061</v>
      </c>
      <c r="D21">
        <v>366.8</v>
      </c>
      <c r="E21">
        <v>19.739999999999998</v>
      </c>
      <c r="F21" s="10">
        <f>35/11</f>
        <v>3.1818181818181817</v>
      </c>
      <c r="G21">
        <v>-1.1100000000000001</v>
      </c>
    </row>
  </sheetData>
  <sortState ref="A2:F25">
    <sortCondition ref="A5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F1" sqref="F1"/>
    </sheetView>
  </sheetViews>
  <sheetFormatPr defaultRowHeight="15"/>
  <cols>
    <col min="1" max="1" width="16.42578125" bestFit="1" customWidth="1"/>
    <col min="2" max="2" width="16.7109375" bestFit="1" customWidth="1"/>
    <col min="3" max="3" width="4.140625" bestFit="1" customWidth="1"/>
    <col min="4" max="5" width="6" bestFit="1" customWidth="1"/>
    <col min="6" max="6" width="5.5703125" bestFit="1" customWidth="1"/>
  </cols>
  <sheetData>
    <row r="1" spans="1:7">
      <c r="A1" s="5" t="s">
        <v>35</v>
      </c>
      <c r="B1" s="5" t="s">
        <v>36</v>
      </c>
      <c r="C1" s="5" t="s">
        <v>37</v>
      </c>
      <c r="D1" s="5" t="s">
        <v>38</v>
      </c>
      <c r="E1" s="5" t="s">
        <v>39</v>
      </c>
      <c r="F1" s="9" t="s">
        <v>40</v>
      </c>
    </row>
    <row r="2" spans="1:7">
      <c r="A2" t="s">
        <v>112</v>
      </c>
      <c r="B2" t="s">
        <v>113</v>
      </c>
      <c r="C2" t="s">
        <v>77</v>
      </c>
      <c r="D2">
        <v>455.6</v>
      </c>
      <c r="E2">
        <v>24.14</v>
      </c>
      <c r="F2" s="10" t="s">
        <v>78</v>
      </c>
    </row>
    <row r="3" spans="1:7">
      <c r="A3" s="2" t="s">
        <v>112</v>
      </c>
      <c r="B3" s="2" t="s">
        <v>1029</v>
      </c>
      <c r="C3" s="2" t="s">
        <v>152</v>
      </c>
      <c r="D3" s="2">
        <v>441.5</v>
      </c>
      <c r="E3" s="2">
        <v>22.98</v>
      </c>
      <c r="F3" s="11">
        <v>5</v>
      </c>
      <c r="G3" s="2">
        <v>-1.1599999999999999</v>
      </c>
    </row>
    <row r="4" spans="1:7">
      <c r="A4" t="s">
        <v>142</v>
      </c>
      <c r="B4" t="s">
        <v>84</v>
      </c>
      <c r="C4" t="s">
        <v>74</v>
      </c>
      <c r="D4">
        <v>527.70000000000005</v>
      </c>
      <c r="E4">
        <v>23.52</v>
      </c>
      <c r="F4" s="10">
        <f>95/11</f>
        <v>8.6363636363636367</v>
      </c>
      <c r="G4">
        <v>-2.35</v>
      </c>
    </row>
    <row r="5" spans="1:7">
      <c r="A5" t="s">
        <v>81</v>
      </c>
      <c r="B5" t="s">
        <v>76</v>
      </c>
      <c r="C5" t="s">
        <v>77</v>
      </c>
      <c r="D5">
        <v>589.4</v>
      </c>
      <c r="E5">
        <v>25.87</v>
      </c>
      <c r="F5" s="10" t="s">
        <v>78</v>
      </c>
    </row>
    <row r="6" spans="1:7">
      <c r="A6" t="s">
        <v>117</v>
      </c>
      <c r="B6" t="s">
        <v>113</v>
      </c>
      <c r="C6" t="s">
        <v>77</v>
      </c>
      <c r="D6">
        <v>507.2</v>
      </c>
      <c r="E6">
        <v>25.25</v>
      </c>
      <c r="F6" s="10" t="s">
        <v>78</v>
      </c>
    </row>
    <row r="7" spans="1:7">
      <c r="A7" s="2" t="s">
        <v>528</v>
      </c>
      <c r="B7" s="2" t="s">
        <v>1029</v>
      </c>
      <c r="C7" s="2" t="s">
        <v>152</v>
      </c>
      <c r="D7" s="2">
        <v>439.1</v>
      </c>
      <c r="E7" s="2">
        <v>22.4</v>
      </c>
      <c r="F7" s="11">
        <f>49/11</f>
        <v>4.4545454545454541</v>
      </c>
      <c r="G7">
        <v>-2.85</v>
      </c>
    </row>
    <row r="8" spans="1:7">
      <c r="A8" t="s">
        <v>115</v>
      </c>
      <c r="B8" t="s">
        <v>113</v>
      </c>
      <c r="C8" t="s">
        <v>77</v>
      </c>
      <c r="D8">
        <v>449.4</v>
      </c>
      <c r="E8">
        <v>25.57</v>
      </c>
      <c r="F8" s="10" t="s">
        <v>78</v>
      </c>
    </row>
    <row r="9" spans="1:7">
      <c r="A9" t="s">
        <v>115</v>
      </c>
      <c r="B9" t="s">
        <v>240</v>
      </c>
      <c r="C9" t="s">
        <v>152</v>
      </c>
      <c r="D9">
        <v>478.2</v>
      </c>
      <c r="E9">
        <v>20</v>
      </c>
      <c r="F9" s="10">
        <f>35/11</f>
        <v>3.1818181818181817</v>
      </c>
      <c r="G9">
        <v>-5.57</v>
      </c>
    </row>
    <row r="10" spans="1:7">
      <c r="A10" t="s">
        <v>79</v>
      </c>
      <c r="B10" t="s">
        <v>76</v>
      </c>
      <c r="C10" t="s">
        <v>77</v>
      </c>
      <c r="D10">
        <v>279.39999999999998</v>
      </c>
      <c r="E10">
        <v>15.99</v>
      </c>
      <c r="F10" s="10" t="s">
        <v>78</v>
      </c>
    </row>
    <row r="11" spans="1:7">
      <c r="A11" s="2" t="s">
        <v>79</v>
      </c>
      <c r="B11" s="2" t="s">
        <v>1013</v>
      </c>
      <c r="C11" s="2" t="s">
        <v>41</v>
      </c>
      <c r="D11" s="2">
        <v>259.5</v>
      </c>
      <c r="E11" s="2">
        <v>14.26</v>
      </c>
      <c r="F11" s="11">
        <v>0.9</v>
      </c>
      <c r="G11" s="2">
        <v>-1.73</v>
      </c>
    </row>
  </sheetData>
  <sortState ref="A2:F11">
    <sortCondition ref="A8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3"/>
  <sheetViews>
    <sheetView workbookViewId="0">
      <selection activeCell="G4" sqref="G4"/>
    </sheetView>
  </sheetViews>
  <sheetFormatPr defaultRowHeight="15"/>
  <cols>
    <col min="1" max="1" width="21.5703125" bestFit="1" customWidth="1"/>
    <col min="2" max="2" width="16.85546875" bestFit="1" customWidth="1"/>
    <col min="3" max="3" width="5.5703125" bestFit="1" customWidth="1"/>
    <col min="4" max="4" width="12" bestFit="1" customWidth="1"/>
    <col min="5" max="5" width="5.5703125" style="13" bestFit="1" customWidth="1"/>
    <col min="6" max="6" width="5.5703125" bestFit="1" customWidth="1"/>
  </cols>
  <sheetData>
    <row r="1" spans="1:7">
      <c r="A1" s="5" t="s">
        <v>35</v>
      </c>
      <c r="B1" s="5" t="s">
        <v>36</v>
      </c>
      <c r="C1" s="5" t="s">
        <v>37</v>
      </c>
      <c r="D1" s="5" t="s">
        <v>38</v>
      </c>
      <c r="E1" s="12" t="s">
        <v>39</v>
      </c>
      <c r="F1" s="9" t="s">
        <v>40</v>
      </c>
    </row>
    <row r="2" spans="1:7">
      <c r="A2" t="s">
        <v>334</v>
      </c>
      <c r="B2" t="s">
        <v>1055</v>
      </c>
      <c r="C2" t="s">
        <v>337</v>
      </c>
      <c r="D2">
        <v>429.5</v>
      </c>
      <c r="E2" s="13">
        <v>25.36</v>
      </c>
      <c r="F2" s="10" t="s">
        <v>78</v>
      </c>
      <c r="G2">
        <v>-1.25</v>
      </c>
    </row>
    <row r="3" spans="1:7">
      <c r="A3" t="s">
        <v>334</v>
      </c>
      <c r="B3" t="s">
        <v>324</v>
      </c>
      <c r="C3" t="s">
        <v>74</v>
      </c>
      <c r="D3">
        <v>479.5</v>
      </c>
      <c r="E3" s="13">
        <v>24.11</v>
      </c>
      <c r="F3" s="10">
        <v>10.199999999999999</v>
      </c>
    </row>
    <row r="4" spans="1:7">
      <c r="A4" t="s">
        <v>326</v>
      </c>
      <c r="B4" t="s">
        <v>324</v>
      </c>
      <c r="C4" t="s">
        <v>74</v>
      </c>
      <c r="D4">
        <v>466</v>
      </c>
      <c r="E4" s="13">
        <v>25.2</v>
      </c>
      <c r="F4" s="10">
        <v>8.9</v>
      </c>
    </row>
    <row r="5" spans="1:7">
      <c r="A5" t="s">
        <v>326</v>
      </c>
      <c r="B5" t="s">
        <v>1055</v>
      </c>
      <c r="C5" t="s">
        <v>337</v>
      </c>
      <c r="D5">
        <v>477.3</v>
      </c>
      <c r="E5" s="13">
        <v>24.58</v>
      </c>
      <c r="F5" s="10" t="s">
        <v>78</v>
      </c>
      <c r="G5">
        <v>0.62</v>
      </c>
    </row>
    <row r="6" spans="1:7">
      <c r="A6" t="s">
        <v>545</v>
      </c>
      <c r="B6" t="s">
        <v>348</v>
      </c>
      <c r="C6" t="s">
        <v>337</v>
      </c>
      <c r="D6">
        <v>253.5</v>
      </c>
      <c r="E6" s="13">
        <v>17.708333333333332</v>
      </c>
      <c r="F6" s="10" t="s">
        <v>78</v>
      </c>
      <c r="G6">
        <v>3.66</v>
      </c>
    </row>
    <row r="7" spans="1:7">
      <c r="A7" t="s">
        <v>545</v>
      </c>
      <c r="B7" t="s">
        <v>1056</v>
      </c>
      <c r="C7" t="s">
        <v>152</v>
      </c>
      <c r="D7">
        <v>325.5</v>
      </c>
      <c r="E7" s="13">
        <v>21.37</v>
      </c>
      <c r="F7" s="10">
        <f>37/12</f>
        <v>3.0833333333333335</v>
      </c>
    </row>
    <row r="8" spans="1:7">
      <c r="A8" t="s">
        <v>104</v>
      </c>
      <c r="B8" t="s">
        <v>373</v>
      </c>
      <c r="C8" t="s">
        <v>337</v>
      </c>
      <c r="D8">
        <v>194</v>
      </c>
      <c r="E8" s="13">
        <v>14.45</v>
      </c>
      <c r="F8" s="10" t="s">
        <v>78</v>
      </c>
      <c r="G8">
        <v>3.41</v>
      </c>
    </row>
    <row r="9" spans="1:7">
      <c r="A9" s="2" t="s">
        <v>104</v>
      </c>
      <c r="B9" t="s">
        <v>97</v>
      </c>
      <c r="C9" t="s">
        <v>41</v>
      </c>
      <c r="D9">
        <v>263.89</v>
      </c>
      <c r="E9" s="13">
        <v>17.86</v>
      </c>
      <c r="F9" s="10">
        <f>29/9</f>
        <v>3.2222222222222223</v>
      </c>
    </row>
    <row r="10" spans="1:7">
      <c r="A10" t="s">
        <v>248</v>
      </c>
      <c r="B10" t="s">
        <v>49</v>
      </c>
      <c r="C10" t="s">
        <v>152</v>
      </c>
      <c r="D10">
        <v>374</v>
      </c>
      <c r="E10" s="13">
        <v>20.48</v>
      </c>
      <c r="F10" s="10">
        <v>2.4</v>
      </c>
    </row>
    <row r="11" spans="1:7">
      <c r="A11" t="s">
        <v>344</v>
      </c>
      <c r="B11" t="s">
        <v>338</v>
      </c>
      <c r="C11" t="s">
        <v>337</v>
      </c>
      <c r="D11">
        <v>321.98</v>
      </c>
      <c r="E11" s="13">
        <v>15.76</v>
      </c>
      <c r="F11" s="10" t="s">
        <v>78</v>
      </c>
      <c r="G11">
        <v>4.72</v>
      </c>
    </row>
    <row r="12" spans="1:7">
      <c r="A12" t="s">
        <v>183</v>
      </c>
      <c r="B12" t="s">
        <v>1055</v>
      </c>
      <c r="C12" t="s">
        <v>337</v>
      </c>
      <c r="D12">
        <v>298.2</v>
      </c>
      <c r="E12" s="13">
        <v>19.07</v>
      </c>
      <c r="F12" s="10" t="s">
        <v>78</v>
      </c>
      <c r="G12">
        <v>3.9</v>
      </c>
    </row>
    <row r="13" spans="1:7">
      <c r="A13" t="s">
        <v>183</v>
      </c>
      <c r="B13" t="s">
        <v>324</v>
      </c>
      <c r="C13" t="s">
        <v>74</v>
      </c>
      <c r="D13">
        <v>392</v>
      </c>
      <c r="E13" s="13">
        <v>22.97</v>
      </c>
      <c r="F13" s="10">
        <v>7.4</v>
      </c>
    </row>
    <row r="14" spans="1:7">
      <c r="A14" t="s">
        <v>43</v>
      </c>
      <c r="B14" t="s">
        <v>33</v>
      </c>
      <c r="C14" t="s">
        <v>41</v>
      </c>
      <c r="D14">
        <v>360.6</v>
      </c>
      <c r="E14" s="13">
        <v>20.61</v>
      </c>
      <c r="F14" s="10">
        <f>40/8</f>
        <v>5</v>
      </c>
    </row>
    <row r="15" spans="1:7">
      <c r="A15" t="s">
        <v>342</v>
      </c>
      <c r="B15" t="s">
        <v>338</v>
      </c>
      <c r="C15" t="s">
        <v>337</v>
      </c>
      <c r="D15">
        <v>439</v>
      </c>
      <c r="E15" s="13">
        <v>21.357142857142858</v>
      </c>
      <c r="F15" s="10" t="s">
        <v>78</v>
      </c>
      <c r="G15">
        <v>-0.75</v>
      </c>
    </row>
    <row r="16" spans="1:7">
      <c r="A16" t="s">
        <v>184</v>
      </c>
      <c r="B16" t="s">
        <v>1055</v>
      </c>
      <c r="C16" t="s">
        <v>337</v>
      </c>
      <c r="D16">
        <v>277.8</v>
      </c>
      <c r="E16" s="13">
        <v>17.260000000000002</v>
      </c>
      <c r="F16" s="10" t="s">
        <v>78</v>
      </c>
      <c r="G16">
        <v>3.72</v>
      </c>
    </row>
    <row r="17" spans="1:7">
      <c r="A17" t="s">
        <v>184</v>
      </c>
      <c r="B17" t="s">
        <v>324</v>
      </c>
      <c r="C17" t="s">
        <v>74</v>
      </c>
      <c r="D17">
        <v>399.5</v>
      </c>
      <c r="E17" s="13">
        <v>20.98</v>
      </c>
      <c r="F17" s="10">
        <v>6.7</v>
      </c>
    </row>
    <row r="18" spans="1:7">
      <c r="A18" s="2" t="s">
        <v>143</v>
      </c>
      <c r="B18" s="2" t="s">
        <v>337</v>
      </c>
      <c r="C18" s="2" t="s">
        <v>337</v>
      </c>
      <c r="D18" s="2">
        <v>354</v>
      </c>
      <c r="E18" s="14">
        <v>23.944954128440369</v>
      </c>
      <c r="F18" s="11" t="s">
        <v>78</v>
      </c>
      <c r="G18">
        <v>-0.08</v>
      </c>
    </row>
    <row r="19" spans="1:7">
      <c r="A19" t="s">
        <v>143</v>
      </c>
      <c r="B19" t="s">
        <v>84</v>
      </c>
      <c r="C19" t="s">
        <v>74</v>
      </c>
      <c r="D19">
        <v>503.6</v>
      </c>
      <c r="E19" s="13">
        <v>23.86</v>
      </c>
      <c r="F19" s="10">
        <v>8</v>
      </c>
    </row>
    <row r="20" spans="1:7">
      <c r="A20" s="2" t="s">
        <v>145</v>
      </c>
      <c r="B20" s="2" t="s">
        <v>337</v>
      </c>
      <c r="C20" s="2" t="s">
        <v>337</v>
      </c>
      <c r="D20" s="2">
        <v>322.5</v>
      </c>
      <c r="E20" s="14">
        <v>18.375</v>
      </c>
      <c r="F20" s="11" t="s">
        <v>78</v>
      </c>
      <c r="G20">
        <v>-0.1</v>
      </c>
    </row>
    <row r="21" spans="1:7">
      <c r="A21" t="s">
        <v>145</v>
      </c>
      <c r="B21" t="s">
        <v>84</v>
      </c>
      <c r="C21" t="s">
        <v>74</v>
      </c>
      <c r="D21">
        <v>338.3</v>
      </c>
      <c r="E21" s="13">
        <v>18.28</v>
      </c>
      <c r="F21" s="10">
        <f>39/9</f>
        <v>4.333333333333333</v>
      </c>
    </row>
    <row r="22" spans="1:7">
      <c r="A22" t="s">
        <v>111</v>
      </c>
      <c r="B22" t="s">
        <v>353</v>
      </c>
      <c r="C22" t="s">
        <v>337</v>
      </c>
      <c r="D22">
        <v>379.25</v>
      </c>
      <c r="E22" s="13">
        <v>19.801980198019802</v>
      </c>
      <c r="F22" s="10">
        <v>2</v>
      </c>
      <c r="G22">
        <v>-1.62</v>
      </c>
    </row>
    <row r="23" spans="1:7">
      <c r="A23" s="2" t="s">
        <v>190</v>
      </c>
      <c r="B23" t="s">
        <v>163</v>
      </c>
      <c r="C23" t="s">
        <v>41</v>
      </c>
      <c r="D23">
        <v>381.5</v>
      </c>
      <c r="E23" s="13">
        <v>18.18</v>
      </c>
      <c r="F23" s="10">
        <v>3.4</v>
      </c>
    </row>
    <row r="24" spans="1:7">
      <c r="A24" t="s">
        <v>59</v>
      </c>
      <c r="B24" t="s">
        <v>348</v>
      </c>
      <c r="C24" t="s">
        <v>337</v>
      </c>
      <c r="D24">
        <v>352.97272727272724</v>
      </c>
      <c r="E24" s="13">
        <v>17.325581395348838</v>
      </c>
      <c r="F24" s="10" t="s">
        <v>78</v>
      </c>
      <c r="G24">
        <v>5.15</v>
      </c>
    </row>
    <row r="25" spans="1:7">
      <c r="A25" t="s">
        <v>59</v>
      </c>
      <c r="B25" t="s">
        <v>267</v>
      </c>
      <c r="C25" t="s">
        <v>74</v>
      </c>
      <c r="D25">
        <v>402.5</v>
      </c>
      <c r="E25" s="13">
        <v>22.48</v>
      </c>
      <c r="F25" s="10">
        <v>5.7</v>
      </c>
    </row>
    <row r="26" spans="1:7">
      <c r="A26" t="s">
        <v>107</v>
      </c>
      <c r="B26" t="s">
        <v>106</v>
      </c>
      <c r="C26" t="s">
        <v>74</v>
      </c>
      <c r="D26">
        <v>466.2</v>
      </c>
      <c r="E26" s="13">
        <v>21.44</v>
      </c>
      <c r="F26" s="10" t="s">
        <v>78</v>
      </c>
    </row>
    <row r="27" spans="1:7">
      <c r="A27" t="s">
        <v>107</v>
      </c>
      <c r="B27" t="s">
        <v>353</v>
      </c>
      <c r="C27" t="s">
        <v>337</v>
      </c>
      <c r="D27">
        <v>378.25</v>
      </c>
      <c r="E27" s="13">
        <v>17.706422018348626</v>
      </c>
      <c r="F27" s="10">
        <v>2.125</v>
      </c>
      <c r="G27">
        <v>3.73</v>
      </c>
    </row>
    <row r="28" spans="1:7">
      <c r="A28" s="2" t="s">
        <v>87</v>
      </c>
      <c r="B28" s="2" t="s">
        <v>337</v>
      </c>
      <c r="C28" s="2" t="s">
        <v>337</v>
      </c>
      <c r="D28" s="2">
        <v>424</v>
      </c>
      <c r="E28" s="14">
        <v>24.6</v>
      </c>
      <c r="F28" s="11" t="s">
        <v>78</v>
      </c>
      <c r="G28">
        <v>-2.42</v>
      </c>
    </row>
    <row r="29" spans="1:7">
      <c r="A29" t="s">
        <v>87</v>
      </c>
      <c r="B29" t="s">
        <v>288</v>
      </c>
      <c r="C29" t="s">
        <v>41</v>
      </c>
      <c r="D29">
        <v>475.4</v>
      </c>
      <c r="E29" s="13">
        <v>22.18</v>
      </c>
      <c r="F29" s="10">
        <v>6</v>
      </c>
    </row>
    <row r="30" spans="1:7">
      <c r="A30" s="2" t="s">
        <v>72</v>
      </c>
      <c r="B30" s="2" t="s">
        <v>337</v>
      </c>
      <c r="C30" s="2" t="s">
        <v>337</v>
      </c>
      <c r="D30" s="2">
        <v>286</v>
      </c>
      <c r="E30" s="14">
        <v>18.26923076923077</v>
      </c>
      <c r="F30" s="11" t="s">
        <v>78</v>
      </c>
      <c r="G30">
        <v>0.24</v>
      </c>
    </row>
    <row r="31" spans="1:7">
      <c r="A31" t="s">
        <v>72</v>
      </c>
      <c r="B31" t="s">
        <v>288</v>
      </c>
      <c r="C31" t="s">
        <v>41</v>
      </c>
      <c r="D31">
        <v>315.5</v>
      </c>
      <c r="E31" s="13">
        <v>18.510000000000002</v>
      </c>
      <c r="F31" s="10">
        <f>29/12</f>
        <v>2.4166666666666665</v>
      </c>
    </row>
    <row r="32" spans="1:7">
      <c r="A32" t="s">
        <v>335</v>
      </c>
      <c r="B32" t="s">
        <v>1055</v>
      </c>
      <c r="C32" t="s">
        <v>337</v>
      </c>
      <c r="D32">
        <v>350</v>
      </c>
      <c r="E32" s="13">
        <v>22.03</v>
      </c>
      <c r="F32" s="10" t="s">
        <v>78</v>
      </c>
      <c r="G32">
        <v>2.66</v>
      </c>
    </row>
    <row r="33" spans="1:7">
      <c r="A33" t="s">
        <v>335</v>
      </c>
      <c r="B33" t="s">
        <v>324</v>
      </c>
      <c r="C33" t="s">
        <v>74</v>
      </c>
      <c r="D33">
        <v>475</v>
      </c>
      <c r="E33" s="13">
        <v>24.69</v>
      </c>
      <c r="F33" s="10">
        <v>8.1999999999999993</v>
      </c>
    </row>
    <row r="34" spans="1:7">
      <c r="A34" s="2" t="s">
        <v>73</v>
      </c>
      <c r="B34" s="2" t="s">
        <v>337</v>
      </c>
      <c r="C34" s="2" t="s">
        <v>337</v>
      </c>
      <c r="D34" s="2">
        <v>341.5</v>
      </c>
      <c r="E34" s="14">
        <v>20.521739130434781</v>
      </c>
      <c r="F34" s="11" t="s">
        <v>78</v>
      </c>
      <c r="G34">
        <v>-0.13</v>
      </c>
    </row>
    <row r="35" spans="1:7">
      <c r="A35" t="s">
        <v>73</v>
      </c>
      <c r="B35" t="s">
        <v>288</v>
      </c>
      <c r="C35" t="s">
        <v>41</v>
      </c>
      <c r="D35">
        <v>400.4</v>
      </c>
      <c r="E35" s="13">
        <v>20.39</v>
      </c>
      <c r="F35" s="10">
        <f>41/12</f>
        <v>3.4166666666666665</v>
      </c>
    </row>
    <row r="36" spans="1:7">
      <c r="A36" t="s">
        <v>375</v>
      </c>
      <c r="B36" t="s">
        <v>373</v>
      </c>
      <c r="C36" t="s">
        <v>337</v>
      </c>
      <c r="D36">
        <v>368.5</v>
      </c>
      <c r="E36" s="13">
        <v>19.57</v>
      </c>
      <c r="F36" s="10" t="s">
        <v>78</v>
      </c>
      <c r="G36">
        <v>0.72</v>
      </c>
    </row>
    <row r="37" spans="1:7">
      <c r="A37" t="s">
        <v>375</v>
      </c>
      <c r="B37" t="s">
        <v>97</v>
      </c>
      <c r="C37" t="s">
        <v>41</v>
      </c>
      <c r="D37">
        <v>360.56</v>
      </c>
      <c r="E37" s="13">
        <v>20.29</v>
      </c>
      <c r="F37" s="10">
        <f>38/9</f>
        <v>4.2222222222222223</v>
      </c>
    </row>
    <row r="38" spans="1:7">
      <c r="A38" t="s">
        <v>376</v>
      </c>
      <c r="B38" t="s">
        <v>373</v>
      </c>
      <c r="C38" t="s">
        <v>337</v>
      </c>
      <c r="D38">
        <v>231.7</v>
      </c>
      <c r="E38" s="13">
        <v>15.18</v>
      </c>
      <c r="F38" s="10" t="s">
        <v>78</v>
      </c>
      <c r="G38">
        <v>2.5</v>
      </c>
    </row>
    <row r="39" spans="1:7">
      <c r="A39" s="2" t="s">
        <v>376</v>
      </c>
      <c r="B39" s="2" t="s">
        <v>417</v>
      </c>
      <c r="C39" s="2" t="s">
        <v>152</v>
      </c>
      <c r="D39" s="2">
        <v>331.2</v>
      </c>
      <c r="E39" s="14">
        <v>17.68</v>
      </c>
      <c r="F39" s="11">
        <f>37/13</f>
        <v>2.8461538461538463</v>
      </c>
    </row>
    <row r="40" spans="1:7">
      <c r="A40" s="2" t="s">
        <v>393</v>
      </c>
      <c r="B40" s="2" t="s">
        <v>337</v>
      </c>
      <c r="C40" s="2" t="s">
        <v>337</v>
      </c>
      <c r="D40" s="2">
        <v>515.5</v>
      </c>
      <c r="E40" s="14">
        <v>26.275862068965516</v>
      </c>
      <c r="F40" s="11" t="s">
        <v>78</v>
      </c>
      <c r="G40">
        <v>-3.83</v>
      </c>
    </row>
    <row r="41" spans="1:7">
      <c r="A41" s="2" t="s">
        <v>393</v>
      </c>
      <c r="B41" s="2" t="s">
        <v>1025</v>
      </c>
      <c r="C41" s="2" t="s">
        <v>152</v>
      </c>
      <c r="D41" s="2">
        <v>489</v>
      </c>
      <c r="E41" s="14">
        <v>22.45</v>
      </c>
      <c r="F41" s="11">
        <v>8.3000000000000007</v>
      </c>
    </row>
    <row r="42" spans="1:7">
      <c r="A42" s="2" t="s">
        <v>121</v>
      </c>
      <c r="B42" s="2" t="s">
        <v>337</v>
      </c>
      <c r="C42" s="2" t="s">
        <v>337</v>
      </c>
      <c r="D42" s="2">
        <v>358</v>
      </c>
      <c r="E42" s="14">
        <v>19.206349206349206</v>
      </c>
      <c r="F42" s="11" t="s">
        <v>78</v>
      </c>
      <c r="G42">
        <v>-0.83</v>
      </c>
    </row>
    <row r="43" spans="1:7">
      <c r="A43" t="s">
        <v>121</v>
      </c>
      <c r="B43" t="s">
        <v>120</v>
      </c>
      <c r="C43" t="s">
        <v>41</v>
      </c>
      <c r="D43">
        <v>352</v>
      </c>
      <c r="E43" s="13">
        <v>18.38</v>
      </c>
      <c r="F43" s="10">
        <v>3.6</v>
      </c>
    </row>
    <row r="44" spans="1:7">
      <c r="A44" t="s">
        <v>315</v>
      </c>
      <c r="B44" t="s">
        <v>1055</v>
      </c>
      <c r="C44" t="s">
        <v>337</v>
      </c>
      <c r="D44">
        <v>287.3</v>
      </c>
      <c r="E44" s="13">
        <v>20.65</v>
      </c>
      <c r="F44" s="10" t="s">
        <v>78</v>
      </c>
      <c r="G44">
        <v>1.48</v>
      </c>
    </row>
    <row r="45" spans="1:7">
      <c r="A45" t="s">
        <v>315</v>
      </c>
      <c r="B45" t="s">
        <v>324</v>
      </c>
      <c r="C45" t="s">
        <v>74</v>
      </c>
      <c r="D45">
        <v>364.5</v>
      </c>
      <c r="E45" s="13">
        <v>22.13</v>
      </c>
      <c r="F45" s="10">
        <v>4.4000000000000004</v>
      </c>
    </row>
    <row r="46" spans="1:7">
      <c r="A46" t="s">
        <v>179</v>
      </c>
      <c r="B46" t="s">
        <v>1055</v>
      </c>
      <c r="C46" t="s">
        <v>337</v>
      </c>
      <c r="D46">
        <v>348.6</v>
      </c>
      <c r="E46" s="13">
        <v>22.46</v>
      </c>
      <c r="F46" s="10" t="s">
        <v>78</v>
      </c>
      <c r="G46">
        <v>0.49</v>
      </c>
    </row>
    <row r="47" spans="1:7">
      <c r="A47" t="s">
        <v>333</v>
      </c>
      <c r="B47" t="s">
        <v>324</v>
      </c>
      <c r="C47" t="s">
        <v>74</v>
      </c>
      <c r="D47">
        <v>410.5</v>
      </c>
      <c r="E47" s="13">
        <v>22.95</v>
      </c>
      <c r="F47" s="10">
        <v>8</v>
      </c>
    </row>
    <row r="48" spans="1:7">
      <c r="A48" t="s">
        <v>351</v>
      </c>
      <c r="B48" t="s">
        <v>348</v>
      </c>
      <c r="C48" t="s">
        <v>337</v>
      </c>
      <c r="D48">
        <v>558.19999999999993</v>
      </c>
      <c r="E48" s="13">
        <v>25.714285714285715</v>
      </c>
      <c r="F48" s="10" t="s">
        <v>78</v>
      </c>
      <c r="G48">
        <v>-0.46</v>
      </c>
    </row>
    <row r="49" spans="1:7">
      <c r="A49" t="s">
        <v>351</v>
      </c>
      <c r="B49" t="s">
        <v>402</v>
      </c>
      <c r="C49" t="s">
        <v>74</v>
      </c>
      <c r="D49">
        <v>630</v>
      </c>
      <c r="E49" s="13">
        <v>25.25</v>
      </c>
      <c r="F49" s="10">
        <v>12.4</v>
      </c>
    </row>
    <row r="50" spans="1:7">
      <c r="A50" t="s">
        <v>108</v>
      </c>
      <c r="B50" t="s">
        <v>106</v>
      </c>
      <c r="C50" t="s">
        <v>74</v>
      </c>
      <c r="D50">
        <v>348.9</v>
      </c>
      <c r="E50" s="13">
        <v>19.07</v>
      </c>
      <c r="F50" s="10" t="s">
        <v>78</v>
      </c>
    </row>
    <row r="51" spans="1:7">
      <c r="A51" t="s">
        <v>108</v>
      </c>
      <c r="B51" t="s">
        <v>353</v>
      </c>
      <c r="C51" t="s">
        <v>337</v>
      </c>
      <c r="D51">
        <v>277.5</v>
      </c>
      <c r="E51" s="13">
        <v>16.666666666666668</v>
      </c>
      <c r="F51" s="10">
        <v>1</v>
      </c>
      <c r="G51">
        <v>2.4</v>
      </c>
    </row>
    <row r="52" spans="1:7">
      <c r="A52" t="s">
        <v>185</v>
      </c>
      <c r="B52" t="s">
        <v>1055</v>
      </c>
      <c r="C52" t="s">
        <v>337</v>
      </c>
      <c r="D52">
        <v>294.39999999999998</v>
      </c>
      <c r="E52" s="13">
        <v>18.04</v>
      </c>
      <c r="F52" s="10" t="s">
        <v>78</v>
      </c>
      <c r="G52">
        <v>3.55</v>
      </c>
    </row>
    <row r="53" spans="1:7">
      <c r="A53" t="s">
        <v>185</v>
      </c>
      <c r="B53" t="s">
        <v>324</v>
      </c>
      <c r="C53" t="s">
        <v>74</v>
      </c>
      <c r="D53">
        <v>354.5</v>
      </c>
      <c r="E53" s="13">
        <v>21.59</v>
      </c>
      <c r="F53" s="10">
        <v>4.7</v>
      </c>
    </row>
    <row r="54" spans="1:7">
      <c r="A54" t="s">
        <v>64</v>
      </c>
      <c r="B54" t="s">
        <v>267</v>
      </c>
      <c r="C54" t="s">
        <v>74</v>
      </c>
      <c r="D54">
        <v>355</v>
      </c>
      <c r="E54" s="13">
        <v>20.09</v>
      </c>
      <c r="F54" s="10">
        <v>6</v>
      </c>
    </row>
    <row r="55" spans="1:7">
      <c r="A55" t="s">
        <v>64</v>
      </c>
      <c r="B55" t="s">
        <v>348</v>
      </c>
      <c r="C55" t="s">
        <v>337</v>
      </c>
      <c r="D55">
        <v>258.63636363636363</v>
      </c>
      <c r="E55" s="13">
        <v>16.607142857142858</v>
      </c>
      <c r="F55" s="10" t="s">
        <v>78</v>
      </c>
      <c r="G55">
        <v>3.48</v>
      </c>
    </row>
    <row r="56" spans="1:7">
      <c r="A56" t="s">
        <v>101</v>
      </c>
      <c r="B56" t="s">
        <v>373</v>
      </c>
      <c r="C56" t="s">
        <v>337</v>
      </c>
      <c r="D56">
        <v>284.39999999999998</v>
      </c>
      <c r="E56" s="13">
        <v>16.190000000000001</v>
      </c>
      <c r="F56" s="10" t="s">
        <v>78</v>
      </c>
      <c r="G56">
        <v>6.81</v>
      </c>
    </row>
    <row r="57" spans="1:7">
      <c r="A57" t="s">
        <v>101</v>
      </c>
      <c r="B57" t="s">
        <v>257</v>
      </c>
      <c r="C57" t="s">
        <v>74</v>
      </c>
      <c r="D57">
        <v>461.2</v>
      </c>
      <c r="E57" s="13">
        <v>23</v>
      </c>
      <c r="F57" s="10">
        <v>7.75</v>
      </c>
    </row>
    <row r="58" spans="1:7">
      <c r="A58" t="s">
        <v>58</v>
      </c>
      <c r="B58" t="s">
        <v>348</v>
      </c>
      <c r="C58" t="s">
        <v>337</v>
      </c>
      <c r="D58">
        <v>435</v>
      </c>
      <c r="E58" s="13">
        <v>22.583892617449663</v>
      </c>
      <c r="F58" s="10" t="s">
        <v>78</v>
      </c>
      <c r="G58">
        <v>1.88</v>
      </c>
    </row>
    <row r="59" spans="1:7">
      <c r="A59" t="s">
        <v>58</v>
      </c>
      <c r="B59" t="s">
        <v>441</v>
      </c>
      <c r="C59" t="s">
        <v>1061</v>
      </c>
      <c r="D59">
        <v>507.7</v>
      </c>
      <c r="E59" s="13">
        <v>24.46</v>
      </c>
      <c r="F59" s="10">
        <f>57/11</f>
        <v>5.1818181818181817</v>
      </c>
    </row>
    <row r="60" spans="1:7">
      <c r="A60" s="2" t="s">
        <v>91</v>
      </c>
      <c r="B60" s="2" t="s">
        <v>337</v>
      </c>
      <c r="C60" s="2" t="s">
        <v>337</v>
      </c>
      <c r="D60" s="2">
        <v>253</v>
      </c>
      <c r="E60" s="14">
        <v>17.578947368421051</v>
      </c>
      <c r="F60" s="11" t="s">
        <v>78</v>
      </c>
      <c r="G60">
        <v>2.58</v>
      </c>
    </row>
    <row r="61" spans="1:7">
      <c r="A61" t="s">
        <v>91</v>
      </c>
      <c r="B61" t="s">
        <v>288</v>
      </c>
      <c r="C61" t="s">
        <v>41</v>
      </c>
      <c r="D61">
        <v>318.3</v>
      </c>
      <c r="E61" s="13">
        <v>20.16</v>
      </c>
      <c r="F61" s="10">
        <f>17/12</f>
        <v>1.4166666666666667</v>
      </c>
    </row>
    <row r="62" spans="1:7">
      <c r="A62" t="s">
        <v>722</v>
      </c>
      <c r="B62" t="s">
        <v>1055</v>
      </c>
      <c r="C62" t="s">
        <v>337</v>
      </c>
      <c r="D62">
        <v>424.1</v>
      </c>
      <c r="E62" s="13">
        <v>24.03</v>
      </c>
      <c r="F62" s="10" t="s">
        <v>78</v>
      </c>
      <c r="G62">
        <v>0.34</v>
      </c>
    </row>
    <row r="63" spans="1:7">
      <c r="A63" t="s">
        <v>158</v>
      </c>
      <c r="B63" t="s">
        <v>156</v>
      </c>
      <c r="C63" t="s">
        <v>74</v>
      </c>
      <c r="D63">
        <v>561.5</v>
      </c>
      <c r="E63" s="13">
        <v>24.37</v>
      </c>
      <c r="F63" s="10">
        <f>95/11</f>
        <v>8.6363636363636367</v>
      </c>
    </row>
    <row r="64" spans="1:7">
      <c r="A64" t="s">
        <v>56</v>
      </c>
      <c r="B64" t="s">
        <v>348</v>
      </c>
      <c r="C64" t="s">
        <v>337</v>
      </c>
      <c r="D64">
        <v>404.56363636363636</v>
      </c>
      <c r="E64" s="13">
        <v>19.235668789808916</v>
      </c>
      <c r="F64" s="10" t="s">
        <v>78</v>
      </c>
      <c r="G64">
        <v>3.8</v>
      </c>
    </row>
    <row r="65" spans="1:7">
      <c r="A65" t="s">
        <v>56</v>
      </c>
      <c r="B65" t="s">
        <v>267</v>
      </c>
      <c r="C65" t="s">
        <v>74</v>
      </c>
      <c r="D65">
        <v>461.5</v>
      </c>
      <c r="E65" s="13">
        <v>23.04</v>
      </c>
      <c r="F65" s="10">
        <v>9.1999999999999993</v>
      </c>
    </row>
    <row r="66" spans="1:7">
      <c r="A66" s="2" t="s">
        <v>71</v>
      </c>
      <c r="B66" s="2" t="s">
        <v>337</v>
      </c>
      <c r="C66" s="2" t="s">
        <v>337</v>
      </c>
      <c r="D66" s="2">
        <v>304</v>
      </c>
      <c r="E66" s="14">
        <v>18.063063063063062</v>
      </c>
      <c r="F66" s="11" t="s">
        <v>78</v>
      </c>
      <c r="G66">
        <v>1.68</v>
      </c>
    </row>
    <row r="67" spans="1:7">
      <c r="A67" t="s">
        <v>71</v>
      </c>
      <c r="B67" t="s">
        <v>441</v>
      </c>
      <c r="C67" t="s">
        <v>1061</v>
      </c>
      <c r="D67">
        <v>366.8</v>
      </c>
      <c r="E67" s="13">
        <v>19.739999999999998</v>
      </c>
      <c r="F67" s="10">
        <f>35/11</f>
        <v>3.1818181818181817</v>
      </c>
    </row>
    <row r="68" spans="1:7">
      <c r="A68" s="2" t="s">
        <v>57</v>
      </c>
      <c r="B68" s="2" t="s">
        <v>337</v>
      </c>
      <c r="C68" s="2" t="s">
        <v>337</v>
      </c>
      <c r="D68" s="2">
        <v>447</v>
      </c>
      <c r="E68" s="14">
        <v>24.210526315789473</v>
      </c>
      <c r="F68" s="11" t="s">
        <v>78</v>
      </c>
      <c r="G68">
        <v>0.96</v>
      </c>
    </row>
    <row r="69" spans="1:7">
      <c r="A69" t="s">
        <v>57</v>
      </c>
      <c r="B69" t="s">
        <v>267</v>
      </c>
      <c r="C69" t="s">
        <v>74</v>
      </c>
      <c r="D69">
        <v>569.5</v>
      </c>
      <c r="E69" s="13">
        <v>25.17</v>
      </c>
      <c r="F69" s="10">
        <v>10.8</v>
      </c>
    </row>
    <row r="70" spans="1:7">
      <c r="A70" s="2" t="s">
        <v>61</v>
      </c>
      <c r="B70" s="2" t="s">
        <v>337</v>
      </c>
      <c r="C70" s="2" t="s">
        <v>337</v>
      </c>
      <c r="D70" s="2">
        <v>256</v>
      </c>
      <c r="E70" s="14">
        <v>19.731182795698924</v>
      </c>
      <c r="F70" s="11" t="s">
        <v>78</v>
      </c>
      <c r="G70">
        <v>1.29</v>
      </c>
    </row>
    <row r="71" spans="1:7">
      <c r="A71" t="s">
        <v>61</v>
      </c>
      <c r="B71" t="s">
        <v>8</v>
      </c>
      <c r="C71" t="s">
        <v>41</v>
      </c>
      <c r="D71">
        <v>341</v>
      </c>
      <c r="E71" s="13">
        <v>21.02</v>
      </c>
      <c r="F71" s="10">
        <f>32/9</f>
        <v>3.5555555555555554</v>
      </c>
    </row>
    <row r="72" spans="1:7">
      <c r="A72" t="s">
        <v>98</v>
      </c>
      <c r="B72" t="s">
        <v>97</v>
      </c>
      <c r="C72" t="s">
        <v>41</v>
      </c>
      <c r="D72">
        <v>350</v>
      </c>
      <c r="E72" s="13">
        <v>21.03</v>
      </c>
      <c r="F72" s="10">
        <v>3.5</v>
      </c>
    </row>
    <row r="73" spans="1:7">
      <c r="A73" t="s">
        <v>374</v>
      </c>
      <c r="B73" t="s">
        <v>373</v>
      </c>
      <c r="C73" t="s">
        <v>337</v>
      </c>
      <c r="D73">
        <v>370</v>
      </c>
      <c r="E73" s="13">
        <v>19.690000000000001</v>
      </c>
      <c r="F73" s="10" t="s">
        <v>78</v>
      </c>
      <c r="G73">
        <v>1.34</v>
      </c>
    </row>
  </sheetData>
  <sortState ref="A2:F78">
    <sortCondition ref="A68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opLeftCell="A26" workbookViewId="0">
      <selection activeCell="G51" sqref="G51"/>
    </sheetView>
  </sheetViews>
  <sheetFormatPr defaultRowHeight="15"/>
  <cols>
    <col min="1" max="1" width="26.140625" bestFit="1" customWidth="1"/>
    <col min="2" max="2" width="12.140625" bestFit="1" customWidth="1"/>
    <col min="3" max="3" width="5.7109375" bestFit="1" customWidth="1"/>
    <col min="4" max="5" width="6" bestFit="1" customWidth="1"/>
    <col min="6" max="6" width="5.5703125" bestFit="1" customWidth="1"/>
  </cols>
  <sheetData>
    <row r="1" spans="1:7">
      <c r="A1" s="5" t="s">
        <v>35</v>
      </c>
      <c r="B1" s="5" t="s">
        <v>36</v>
      </c>
      <c r="C1" s="5" t="s">
        <v>37</v>
      </c>
      <c r="D1" s="5" t="s">
        <v>38</v>
      </c>
      <c r="E1" s="5" t="s">
        <v>39</v>
      </c>
      <c r="F1" s="9" t="s">
        <v>40</v>
      </c>
    </row>
    <row r="2" spans="1:7">
      <c r="A2" t="s">
        <v>334</v>
      </c>
      <c r="B2" t="s">
        <v>1074</v>
      </c>
      <c r="C2" t="s">
        <v>1038</v>
      </c>
      <c r="D2">
        <v>439.5</v>
      </c>
      <c r="E2">
        <v>26.77</v>
      </c>
      <c r="F2" s="10" t="s">
        <v>78</v>
      </c>
      <c r="G2">
        <v>-2.66</v>
      </c>
    </row>
    <row r="3" spans="1:7">
      <c r="A3" t="s">
        <v>334</v>
      </c>
      <c r="B3" t="s">
        <v>324</v>
      </c>
      <c r="C3" t="s">
        <v>74</v>
      </c>
      <c r="D3">
        <v>479.5</v>
      </c>
      <c r="E3">
        <v>24.11</v>
      </c>
      <c r="F3" s="10">
        <v>10.199999999999999</v>
      </c>
    </row>
    <row r="4" spans="1:7">
      <c r="A4" t="s">
        <v>326</v>
      </c>
      <c r="B4" t="s">
        <v>1074</v>
      </c>
      <c r="C4" t="s">
        <v>1038</v>
      </c>
      <c r="D4">
        <v>400.9</v>
      </c>
      <c r="E4">
        <v>23.46</v>
      </c>
      <c r="F4" s="10" t="s">
        <v>78</v>
      </c>
      <c r="G4">
        <v>1.47</v>
      </c>
    </row>
    <row r="5" spans="1:7">
      <c r="A5" t="s">
        <v>326</v>
      </c>
      <c r="B5" t="s">
        <v>324</v>
      </c>
      <c r="C5" t="s">
        <v>74</v>
      </c>
      <c r="D5">
        <v>466</v>
      </c>
      <c r="E5">
        <v>25.2</v>
      </c>
      <c r="F5" s="10">
        <v>8.9</v>
      </c>
    </row>
    <row r="6" spans="1:7">
      <c r="A6" t="s">
        <v>325</v>
      </c>
      <c r="B6" t="s">
        <v>1074</v>
      </c>
      <c r="C6" t="s">
        <v>1038</v>
      </c>
      <c r="D6">
        <v>216.1</v>
      </c>
      <c r="E6">
        <v>16.53</v>
      </c>
      <c r="F6" s="10" t="s">
        <v>78</v>
      </c>
      <c r="G6">
        <v>3.64</v>
      </c>
    </row>
    <row r="7" spans="1:7">
      <c r="A7" t="s">
        <v>325</v>
      </c>
      <c r="B7" t="s">
        <v>324</v>
      </c>
      <c r="C7" t="s">
        <v>74</v>
      </c>
      <c r="D7">
        <v>382</v>
      </c>
      <c r="E7">
        <v>20.170000000000002</v>
      </c>
      <c r="F7" s="10">
        <v>6.1</v>
      </c>
    </row>
    <row r="8" spans="1:7">
      <c r="A8" s="2" t="s">
        <v>271</v>
      </c>
      <c r="B8" s="2" t="s">
        <v>1038</v>
      </c>
      <c r="C8" s="2" t="s">
        <v>1038</v>
      </c>
      <c r="D8" s="2">
        <v>231</v>
      </c>
      <c r="E8" s="2">
        <v>13.94</v>
      </c>
      <c r="F8" s="11" t="s">
        <v>78</v>
      </c>
      <c r="G8">
        <v>2.91</v>
      </c>
    </row>
    <row r="9" spans="1:7">
      <c r="A9" t="s">
        <v>271</v>
      </c>
      <c r="B9" t="s">
        <v>267</v>
      </c>
      <c r="C9" t="s">
        <v>74</v>
      </c>
      <c r="D9">
        <v>321.2</v>
      </c>
      <c r="E9">
        <v>16.850000000000001</v>
      </c>
      <c r="F9" s="10">
        <v>3</v>
      </c>
    </row>
    <row r="10" spans="1:7">
      <c r="A10" t="s">
        <v>183</v>
      </c>
      <c r="B10" t="s">
        <v>1074</v>
      </c>
      <c r="C10" t="s">
        <v>1038</v>
      </c>
      <c r="D10">
        <v>290</v>
      </c>
      <c r="E10">
        <v>19.350000000000001</v>
      </c>
      <c r="F10" s="10" t="s">
        <v>78</v>
      </c>
      <c r="G10">
        <v>3.62</v>
      </c>
    </row>
    <row r="11" spans="1:7">
      <c r="A11" t="s">
        <v>183</v>
      </c>
      <c r="B11" t="s">
        <v>324</v>
      </c>
      <c r="C11" t="s">
        <v>74</v>
      </c>
      <c r="D11">
        <v>392</v>
      </c>
      <c r="E11">
        <v>22.97</v>
      </c>
      <c r="F11" s="10">
        <v>7.4</v>
      </c>
    </row>
    <row r="12" spans="1:7">
      <c r="A12" s="2" t="s">
        <v>109</v>
      </c>
      <c r="B12" s="2" t="s">
        <v>1038</v>
      </c>
      <c r="C12" s="2" t="s">
        <v>1038</v>
      </c>
      <c r="D12" s="2">
        <v>163</v>
      </c>
      <c r="E12" s="2">
        <v>12.74</v>
      </c>
      <c r="F12" s="11" t="s">
        <v>78</v>
      </c>
      <c r="G12">
        <v>4.3099999999999996</v>
      </c>
    </row>
    <row r="13" spans="1:7">
      <c r="A13" t="s">
        <v>109</v>
      </c>
      <c r="B13" t="s">
        <v>106</v>
      </c>
      <c r="C13" t="s">
        <v>74</v>
      </c>
      <c r="D13">
        <v>340</v>
      </c>
      <c r="E13">
        <v>17.05</v>
      </c>
      <c r="F13" s="10" t="s">
        <v>78</v>
      </c>
    </row>
    <row r="14" spans="1:7">
      <c r="A14" t="s">
        <v>403</v>
      </c>
      <c r="B14" t="s">
        <v>402</v>
      </c>
      <c r="C14" t="s">
        <v>74</v>
      </c>
      <c r="D14">
        <v>210.5</v>
      </c>
      <c r="E14">
        <v>15.12</v>
      </c>
      <c r="F14" s="10">
        <v>2.8</v>
      </c>
    </row>
    <row r="15" spans="1:7">
      <c r="A15" s="2" t="s">
        <v>403</v>
      </c>
      <c r="B15" s="2" t="s">
        <v>1038</v>
      </c>
      <c r="C15" s="2" t="s">
        <v>1038</v>
      </c>
      <c r="D15" s="2">
        <v>193.5</v>
      </c>
      <c r="E15" s="2">
        <v>14.94</v>
      </c>
      <c r="F15" s="11" t="s">
        <v>78</v>
      </c>
      <c r="G15">
        <v>0.18</v>
      </c>
    </row>
    <row r="16" spans="1:7">
      <c r="A16" t="s">
        <v>184</v>
      </c>
      <c r="B16" t="s">
        <v>1074</v>
      </c>
      <c r="C16" t="s">
        <v>1038</v>
      </c>
      <c r="D16">
        <v>225.6</v>
      </c>
      <c r="E16">
        <v>18.420000000000002</v>
      </c>
      <c r="F16" s="10" t="s">
        <v>78</v>
      </c>
      <c r="G16">
        <v>2.56</v>
      </c>
    </row>
    <row r="17" spans="1:7">
      <c r="A17" t="s">
        <v>184</v>
      </c>
      <c r="B17" t="s">
        <v>324</v>
      </c>
      <c r="C17" t="s">
        <v>74</v>
      </c>
      <c r="D17">
        <v>399.5</v>
      </c>
      <c r="E17">
        <v>20.98</v>
      </c>
      <c r="F17" s="10">
        <v>6.7</v>
      </c>
    </row>
    <row r="18" spans="1:7">
      <c r="A18" t="s">
        <v>181</v>
      </c>
      <c r="B18" t="s">
        <v>1074</v>
      </c>
      <c r="C18" t="s">
        <v>1038</v>
      </c>
      <c r="D18">
        <v>382</v>
      </c>
      <c r="E18">
        <v>22.69</v>
      </c>
      <c r="F18" s="10" t="s">
        <v>78</v>
      </c>
      <c r="G18">
        <v>1.72</v>
      </c>
    </row>
    <row r="19" spans="1:7">
      <c r="A19" t="s">
        <v>181</v>
      </c>
      <c r="B19" t="s">
        <v>267</v>
      </c>
      <c r="C19" t="s">
        <v>74</v>
      </c>
      <c r="D19">
        <v>545</v>
      </c>
      <c r="E19">
        <v>24.41</v>
      </c>
      <c r="F19" s="10">
        <v>10.1</v>
      </c>
    </row>
    <row r="20" spans="1:7">
      <c r="A20" s="2" t="s">
        <v>111</v>
      </c>
      <c r="B20" s="2" t="s">
        <v>1038</v>
      </c>
      <c r="C20" s="2" t="s">
        <v>1038</v>
      </c>
      <c r="D20" s="2">
        <v>286.5</v>
      </c>
      <c r="E20" s="2">
        <v>19.12</v>
      </c>
      <c r="F20" s="11" t="s">
        <v>78</v>
      </c>
      <c r="G20">
        <v>-0.94</v>
      </c>
    </row>
    <row r="21" spans="1:7">
      <c r="A21" s="2" t="s">
        <v>190</v>
      </c>
      <c r="B21" t="s">
        <v>163</v>
      </c>
      <c r="C21" t="s">
        <v>41</v>
      </c>
      <c r="D21">
        <v>381.5</v>
      </c>
      <c r="E21">
        <v>18.18</v>
      </c>
      <c r="F21" s="10">
        <v>3.4</v>
      </c>
    </row>
    <row r="22" spans="1:7">
      <c r="A22" t="s">
        <v>59</v>
      </c>
      <c r="B22" t="s">
        <v>267</v>
      </c>
      <c r="C22" t="s">
        <v>74</v>
      </c>
      <c r="D22">
        <v>402.5</v>
      </c>
      <c r="E22">
        <v>22.48</v>
      </c>
      <c r="F22" s="10">
        <v>5.7</v>
      </c>
    </row>
    <row r="23" spans="1:7">
      <c r="A23" s="2" t="s">
        <v>59</v>
      </c>
      <c r="B23" s="2" t="s">
        <v>1038</v>
      </c>
      <c r="C23" s="2" t="s">
        <v>1038</v>
      </c>
      <c r="D23" s="2">
        <v>372.5</v>
      </c>
      <c r="E23" s="2">
        <v>20.56</v>
      </c>
      <c r="F23" s="11" t="s">
        <v>78</v>
      </c>
      <c r="G23">
        <v>1.92</v>
      </c>
    </row>
    <row r="24" spans="1:7">
      <c r="A24" t="s">
        <v>335</v>
      </c>
      <c r="B24" t="s">
        <v>1074</v>
      </c>
      <c r="C24" t="s">
        <v>1038</v>
      </c>
      <c r="D24">
        <v>324.39999999999998</v>
      </c>
      <c r="E24">
        <v>22.47</v>
      </c>
      <c r="F24" s="10" t="s">
        <v>78</v>
      </c>
      <c r="G24">
        <v>2.2200000000000002</v>
      </c>
    </row>
    <row r="25" spans="1:7">
      <c r="A25" t="s">
        <v>335</v>
      </c>
      <c r="B25" t="s">
        <v>324</v>
      </c>
      <c r="C25" t="s">
        <v>74</v>
      </c>
      <c r="D25">
        <v>475</v>
      </c>
      <c r="E25">
        <v>24.69</v>
      </c>
      <c r="F25" s="10">
        <v>8.1999999999999993</v>
      </c>
    </row>
    <row r="26" spans="1:7">
      <c r="A26" s="2" t="s">
        <v>1039</v>
      </c>
      <c r="B26" s="2" t="s">
        <v>1038</v>
      </c>
      <c r="C26" s="2" t="s">
        <v>1038</v>
      </c>
      <c r="D26" s="2">
        <v>351.8</v>
      </c>
      <c r="E26" s="2">
        <v>18.97</v>
      </c>
      <c r="F26" s="11" t="s">
        <v>78</v>
      </c>
      <c r="G26">
        <v>1.42</v>
      </c>
    </row>
    <row r="27" spans="1:7">
      <c r="A27" t="s">
        <v>73</v>
      </c>
      <c r="B27" t="s">
        <v>288</v>
      </c>
      <c r="C27" t="s">
        <v>41</v>
      </c>
      <c r="D27">
        <v>400.4</v>
      </c>
      <c r="E27">
        <v>20.39</v>
      </c>
      <c r="F27" s="10">
        <f>41/12</f>
        <v>3.4166666666666665</v>
      </c>
    </row>
    <row r="28" spans="1:7">
      <c r="A28" t="s">
        <v>315</v>
      </c>
      <c r="B28" t="s">
        <v>324</v>
      </c>
      <c r="C28" t="s">
        <v>74</v>
      </c>
      <c r="D28">
        <v>364.5</v>
      </c>
      <c r="E28">
        <v>22.13</v>
      </c>
      <c r="F28" s="10">
        <v>4.4000000000000004</v>
      </c>
    </row>
    <row r="29" spans="1:7">
      <c r="A29" t="s">
        <v>315</v>
      </c>
      <c r="B29" t="s">
        <v>1074</v>
      </c>
      <c r="C29" t="s">
        <v>1038</v>
      </c>
      <c r="D29">
        <v>292.2</v>
      </c>
      <c r="E29">
        <v>20.11</v>
      </c>
      <c r="F29" s="10" t="s">
        <v>78</v>
      </c>
      <c r="G29">
        <v>2.02</v>
      </c>
    </row>
    <row r="30" spans="1:7">
      <c r="A30" t="s">
        <v>333</v>
      </c>
      <c r="B30" t="s">
        <v>324</v>
      </c>
      <c r="C30" t="s">
        <v>74</v>
      </c>
      <c r="D30">
        <v>410.5</v>
      </c>
      <c r="E30">
        <v>22.95</v>
      </c>
      <c r="F30" s="10">
        <v>8</v>
      </c>
    </row>
    <row r="31" spans="1:7">
      <c r="A31" t="s">
        <v>333</v>
      </c>
      <c r="B31" t="s">
        <v>1074</v>
      </c>
      <c r="C31" t="s">
        <v>1038</v>
      </c>
      <c r="D31">
        <v>336.7</v>
      </c>
      <c r="E31">
        <v>23.47</v>
      </c>
      <c r="F31" s="10" t="s">
        <v>78</v>
      </c>
      <c r="G31">
        <v>-0.52</v>
      </c>
    </row>
    <row r="32" spans="1:7">
      <c r="A32" s="2" t="s">
        <v>404</v>
      </c>
      <c r="B32" s="2" t="s">
        <v>1038</v>
      </c>
      <c r="C32" s="2" t="s">
        <v>1038</v>
      </c>
      <c r="D32" s="2">
        <v>234.5</v>
      </c>
      <c r="E32" s="2">
        <v>15.16</v>
      </c>
      <c r="F32" s="11" t="s">
        <v>78</v>
      </c>
      <c r="G32">
        <v>1.34</v>
      </c>
    </row>
    <row r="33" spans="1:7">
      <c r="A33" t="s">
        <v>404</v>
      </c>
      <c r="B33" t="s">
        <v>402</v>
      </c>
      <c r="C33" t="s">
        <v>74</v>
      </c>
      <c r="D33">
        <v>310.60000000000002</v>
      </c>
      <c r="E33">
        <v>16.5</v>
      </c>
      <c r="F33" s="10">
        <f>30/9</f>
        <v>3.3333333333333335</v>
      </c>
    </row>
    <row r="34" spans="1:7">
      <c r="A34" t="s">
        <v>185</v>
      </c>
      <c r="B34" t="s">
        <v>1074</v>
      </c>
      <c r="C34" t="s">
        <v>1038</v>
      </c>
      <c r="D34">
        <v>290.60000000000002</v>
      </c>
      <c r="E34">
        <v>19.78</v>
      </c>
      <c r="F34" s="10" t="s">
        <v>78</v>
      </c>
      <c r="G34">
        <v>1.81</v>
      </c>
    </row>
    <row r="35" spans="1:7">
      <c r="A35" t="s">
        <v>185</v>
      </c>
      <c r="B35" t="s">
        <v>324</v>
      </c>
      <c r="C35" t="s">
        <v>74</v>
      </c>
      <c r="D35">
        <v>354.5</v>
      </c>
      <c r="E35">
        <v>21.59</v>
      </c>
      <c r="F35" s="10">
        <v>4.7</v>
      </c>
    </row>
    <row r="36" spans="1:7">
      <c r="A36" t="s">
        <v>142</v>
      </c>
      <c r="B36" t="s">
        <v>1074</v>
      </c>
      <c r="C36" t="s">
        <v>1038</v>
      </c>
      <c r="D36">
        <v>380.6</v>
      </c>
      <c r="E36">
        <v>23.81</v>
      </c>
      <c r="F36" s="10" t="s">
        <v>78</v>
      </c>
      <c r="G36">
        <v>1.71</v>
      </c>
    </row>
    <row r="37" spans="1:7">
      <c r="A37" t="s">
        <v>142</v>
      </c>
      <c r="B37" t="s">
        <v>84</v>
      </c>
      <c r="C37" t="s">
        <v>74</v>
      </c>
      <c r="D37">
        <v>527.70000000000005</v>
      </c>
      <c r="E37">
        <v>23.52</v>
      </c>
      <c r="F37" s="10">
        <f>95/11</f>
        <v>8.6363636363636367</v>
      </c>
    </row>
    <row r="38" spans="1:7">
      <c r="A38" s="2" t="s">
        <v>110</v>
      </c>
      <c r="B38" s="2" t="s">
        <v>1038</v>
      </c>
      <c r="C38" s="2" t="s">
        <v>1038</v>
      </c>
      <c r="D38" s="2">
        <v>260</v>
      </c>
      <c r="E38" s="2">
        <v>17.23</v>
      </c>
      <c r="F38" s="11" t="s">
        <v>78</v>
      </c>
      <c r="G38">
        <v>4.0999999999999996</v>
      </c>
    </row>
    <row r="39" spans="1:7">
      <c r="A39" t="s">
        <v>110</v>
      </c>
      <c r="B39" t="s">
        <v>106</v>
      </c>
      <c r="C39" t="s">
        <v>74</v>
      </c>
      <c r="D39">
        <v>329</v>
      </c>
      <c r="E39">
        <v>21.33</v>
      </c>
      <c r="F39" s="10" t="s">
        <v>78</v>
      </c>
    </row>
    <row r="40" spans="1:7">
      <c r="A40" s="2" t="s">
        <v>408</v>
      </c>
      <c r="B40" s="2" t="s">
        <v>1038</v>
      </c>
      <c r="C40" s="2" t="s">
        <v>1038</v>
      </c>
      <c r="D40" s="2">
        <v>398.2</v>
      </c>
      <c r="E40" s="2">
        <v>23.36</v>
      </c>
      <c r="F40" s="11" t="s">
        <v>78</v>
      </c>
      <c r="G40">
        <v>1.1000000000000001</v>
      </c>
    </row>
    <row r="41" spans="1:7">
      <c r="A41" t="s">
        <v>58</v>
      </c>
      <c r="B41" t="s">
        <v>441</v>
      </c>
      <c r="C41" t="s">
        <v>1061</v>
      </c>
      <c r="D41">
        <v>507.7</v>
      </c>
      <c r="E41">
        <v>24.46</v>
      </c>
      <c r="F41" s="10">
        <f>57/11</f>
        <v>5.1818181818181817</v>
      </c>
    </row>
    <row r="42" spans="1:7">
      <c r="A42" t="s">
        <v>56</v>
      </c>
      <c r="B42" t="s">
        <v>267</v>
      </c>
      <c r="C42" t="s">
        <v>74</v>
      </c>
      <c r="D42">
        <v>461.5</v>
      </c>
      <c r="E42">
        <v>23.04</v>
      </c>
      <c r="F42" s="10">
        <v>9.1999999999999993</v>
      </c>
    </row>
    <row r="43" spans="1:7">
      <c r="A43" s="2" t="s">
        <v>56</v>
      </c>
      <c r="B43" s="2" t="s">
        <v>1038</v>
      </c>
      <c r="C43" s="2" t="s">
        <v>1038</v>
      </c>
      <c r="D43" s="2">
        <v>466.8</v>
      </c>
      <c r="E43" s="2">
        <v>22.94</v>
      </c>
      <c r="F43" s="11" t="s">
        <v>78</v>
      </c>
      <c r="G43">
        <v>0.1</v>
      </c>
    </row>
    <row r="44" spans="1:7">
      <c r="A44" t="s">
        <v>57</v>
      </c>
      <c r="B44" t="s">
        <v>267</v>
      </c>
      <c r="C44" t="s">
        <v>74</v>
      </c>
      <c r="D44">
        <v>569.5</v>
      </c>
      <c r="E44">
        <v>25.17</v>
      </c>
      <c r="F44" s="10">
        <v>10.8</v>
      </c>
    </row>
    <row r="45" spans="1:7">
      <c r="A45" s="2" t="s">
        <v>57</v>
      </c>
      <c r="B45" s="2" t="s">
        <v>1038</v>
      </c>
      <c r="C45" s="2" t="s">
        <v>1038</v>
      </c>
      <c r="D45" s="2">
        <v>437.7</v>
      </c>
      <c r="E45" s="2">
        <v>24.51</v>
      </c>
      <c r="F45" s="11" t="s">
        <v>78</v>
      </c>
      <c r="G45">
        <v>0.66</v>
      </c>
    </row>
    <row r="46" spans="1:7">
      <c r="A46" s="2" t="s">
        <v>61</v>
      </c>
      <c r="B46" s="2" t="s">
        <v>1038</v>
      </c>
      <c r="C46" s="2" t="s">
        <v>1038</v>
      </c>
      <c r="D46" s="2">
        <v>338.6</v>
      </c>
      <c r="E46" s="2">
        <v>20.63</v>
      </c>
      <c r="F46" s="11" t="s">
        <v>78</v>
      </c>
      <c r="G46">
        <v>0.39</v>
      </c>
    </row>
    <row r="47" spans="1:7">
      <c r="A47" t="s">
        <v>61</v>
      </c>
      <c r="B47" t="s">
        <v>8</v>
      </c>
      <c r="C47" t="s">
        <v>41</v>
      </c>
      <c r="D47">
        <v>341</v>
      </c>
      <c r="E47">
        <v>21.02</v>
      </c>
      <c r="F47" s="10">
        <f>32/9</f>
        <v>3.5555555555555554</v>
      </c>
    </row>
    <row r="48" spans="1:7">
      <c r="A48" t="s">
        <v>265</v>
      </c>
      <c r="B48" t="s">
        <v>1074</v>
      </c>
      <c r="C48" t="s">
        <v>1038</v>
      </c>
      <c r="D48">
        <v>225</v>
      </c>
      <c r="E48">
        <v>16</v>
      </c>
      <c r="F48" s="10" t="s">
        <v>78</v>
      </c>
      <c r="G48">
        <v>2.66</v>
      </c>
    </row>
    <row r="49" spans="1:7">
      <c r="A49" s="2" t="s">
        <v>265</v>
      </c>
      <c r="B49" s="2" t="s">
        <v>1029</v>
      </c>
      <c r="C49" s="2" t="s">
        <v>152</v>
      </c>
      <c r="D49" s="2">
        <v>363</v>
      </c>
      <c r="E49" s="2">
        <v>18.66</v>
      </c>
      <c r="F49" s="11">
        <v>3.7</v>
      </c>
    </row>
    <row r="50" spans="1:7">
      <c r="A50" t="s">
        <v>1075</v>
      </c>
      <c r="B50" t="s">
        <v>1074</v>
      </c>
      <c r="C50" t="s">
        <v>1038</v>
      </c>
      <c r="D50">
        <v>227.2</v>
      </c>
      <c r="E50">
        <v>17.600000000000001</v>
      </c>
      <c r="F50" s="10" t="s">
        <v>78</v>
      </c>
      <c r="G50">
        <v>1.19</v>
      </c>
    </row>
    <row r="51" spans="1:7">
      <c r="A51" t="s">
        <v>329</v>
      </c>
      <c r="B51" t="s">
        <v>324</v>
      </c>
      <c r="C51" t="s">
        <v>74</v>
      </c>
      <c r="D51">
        <v>320</v>
      </c>
      <c r="E51">
        <v>18.79</v>
      </c>
      <c r="F51" s="10">
        <v>3.3</v>
      </c>
    </row>
  </sheetData>
  <sortState ref="A2:F51">
    <sortCondition ref="A5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topLeftCell="A6" workbookViewId="0">
      <selection activeCell="B18" sqref="B18"/>
    </sheetView>
  </sheetViews>
  <sheetFormatPr defaultRowHeight="15"/>
  <cols>
    <col min="1" max="1" width="7.28515625" bestFit="1" customWidth="1"/>
    <col min="2" max="2" width="43" bestFit="1" customWidth="1"/>
  </cols>
  <sheetData>
    <row r="1" spans="1:4">
      <c r="A1" s="1">
        <v>40439</v>
      </c>
      <c r="B1" s="2" t="s">
        <v>0</v>
      </c>
      <c r="C1" s="3" t="s">
        <v>1</v>
      </c>
      <c r="D1" t="s">
        <v>518</v>
      </c>
    </row>
    <row r="2" spans="1:4">
      <c r="A2" s="1">
        <v>40446</v>
      </c>
      <c r="B2" s="2" t="s">
        <v>4</v>
      </c>
      <c r="C2" s="3" t="s">
        <v>5</v>
      </c>
      <c r="D2" t="s">
        <v>519</v>
      </c>
    </row>
    <row r="3" spans="1:4">
      <c r="A3" s="1">
        <v>40446</v>
      </c>
      <c r="B3" s="2" t="s">
        <v>6</v>
      </c>
      <c r="C3" s="3" t="s">
        <v>7</v>
      </c>
      <c r="D3" t="s">
        <v>520</v>
      </c>
    </row>
    <row r="4" spans="1:4">
      <c r="A4" s="1">
        <v>40453</v>
      </c>
      <c r="B4" s="2" t="s">
        <v>18</v>
      </c>
      <c r="C4" s="3" t="s">
        <v>19</v>
      </c>
      <c r="D4" t="s">
        <v>518</v>
      </c>
    </row>
    <row r="5" spans="1:4">
      <c r="A5" s="1">
        <v>40453</v>
      </c>
      <c r="B5" s="2" t="s">
        <v>24</v>
      </c>
      <c r="C5" s="3" t="s">
        <v>25</v>
      </c>
      <c r="D5" t="s">
        <v>518</v>
      </c>
    </row>
    <row r="6" spans="1:4">
      <c r="A6" s="7">
        <v>40467</v>
      </c>
      <c r="B6" t="s">
        <v>254</v>
      </c>
      <c r="C6" s="4" t="s">
        <v>25</v>
      </c>
      <c r="D6" t="s">
        <v>518</v>
      </c>
    </row>
    <row r="7" spans="1:4">
      <c r="A7" s="7">
        <v>40467</v>
      </c>
      <c r="B7" t="s">
        <v>139</v>
      </c>
      <c r="C7" s="4" t="s">
        <v>25</v>
      </c>
      <c r="D7" t="s">
        <v>519</v>
      </c>
    </row>
    <row r="8" spans="1:4">
      <c r="A8" s="7">
        <v>40474</v>
      </c>
      <c r="B8" t="s">
        <v>169</v>
      </c>
      <c r="C8" s="4" t="s">
        <v>25</v>
      </c>
      <c r="D8" t="s">
        <v>519</v>
      </c>
    </row>
    <row r="9" spans="1:4">
      <c r="A9" s="7">
        <v>40481</v>
      </c>
      <c r="B9" t="s">
        <v>197</v>
      </c>
      <c r="C9" s="4" t="s">
        <v>198</v>
      </c>
      <c r="D9" t="s">
        <v>518</v>
      </c>
    </row>
    <row r="10" spans="1:4">
      <c r="A10" s="7">
        <v>40493</v>
      </c>
      <c r="B10" t="s">
        <v>221</v>
      </c>
      <c r="C10" s="4" t="s">
        <v>25</v>
      </c>
      <c r="D10" t="s">
        <v>519</v>
      </c>
    </row>
    <row r="11" spans="1:4">
      <c r="A11" s="7">
        <v>40495</v>
      </c>
      <c r="B11" t="s">
        <v>232</v>
      </c>
      <c r="C11" s="4" t="s">
        <v>233</v>
      </c>
      <c r="D11" t="s">
        <v>520</v>
      </c>
    </row>
    <row r="12" spans="1:4">
      <c r="A12" s="7">
        <v>40495</v>
      </c>
      <c r="B12" t="s">
        <v>237</v>
      </c>
      <c r="C12" s="4" t="s">
        <v>25</v>
      </c>
      <c r="D12" t="s">
        <v>519</v>
      </c>
    </row>
    <row r="13" spans="1:4">
      <c r="A13" s="7">
        <v>40502</v>
      </c>
      <c r="B13" t="s">
        <v>420</v>
      </c>
      <c r="C13" s="4" t="s">
        <v>25</v>
      </c>
      <c r="D13" t="s">
        <v>527</v>
      </c>
    </row>
    <row r="14" spans="1:4">
      <c r="A14" s="7">
        <v>40502</v>
      </c>
      <c r="B14" t="s">
        <v>421</v>
      </c>
      <c r="C14" s="4" t="s">
        <v>25</v>
      </c>
      <c r="D14" t="s">
        <v>527</v>
      </c>
    </row>
    <row r="15" spans="1:4">
      <c r="A15" s="7">
        <v>40502</v>
      </c>
      <c r="B15" t="s">
        <v>424</v>
      </c>
      <c r="C15" s="4" t="s">
        <v>425</v>
      </c>
    </row>
    <row r="16" spans="1:4">
      <c r="A16" s="7">
        <v>40516</v>
      </c>
      <c r="B16" t="s">
        <v>422</v>
      </c>
      <c r="C16" s="4" t="s">
        <v>423</v>
      </c>
    </row>
    <row r="17" spans="1:3">
      <c r="A17" s="7">
        <v>40516</v>
      </c>
      <c r="B17" t="s">
        <v>435</v>
      </c>
      <c r="C17" s="4" t="s">
        <v>25</v>
      </c>
    </row>
    <row r="18" spans="1:3">
      <c r="A18" s="7">
        <v>40523</v>
      </c>
      <c r="B18" t="s">
        <v>436</v>
      </c>
      <c r="C18" s="4" t="s">
        <v>437</v>
      </c>
    </row>
    <row r="19" spans="1:3">
      <c r="A19" s="7">
        <v>40523</v>
      </c>
      <c r="B19" t="s">
        <v>438</v>
      </c>
      <c r="C19" s="4" t="s">
        <v>439</v>
      </c>
    </row>
    <row r="20" spans="1:3">
      <c r="A20" s="7">
        <v>40523</v>
      </c>
      <c r="B20" t="s">
        <v>440</v>
      </c>
      <c r="C20" s="4" t="s">
        <v>25</v>
      </c>
    </row>
    <row r="21" spans="1:3">
      <c r="A21" s="7">
        <v>40530</v>
      </c>
      <c r="B21" t="s">
        <v>441</v>
      </c>
      <c r="C21" s="4" t="s">
        <v>442</v>
      </c>
    </row>
    <row r="22" spans="1:3">
      <c r="A22" s="7">
        <v>40530</v>
      </c>
      <c r="B22" t="s">
        <v>443</v>
      </c>
      <c r="C22" s="4" t="s">
        <v>444</v>
      </c>
    </row>
    <row r="23" spans="1:3">
      <c r="A23" s="7">
        <v>40530</v>
      </c>
      <c r="B23" t="s">
        <v>445</v>
      </c>
      <c r="C23" s="4" t="s">
        <v>25</v>
      </c>
    </row>
    <row r="24" spans="1:3">
      <c r="A24" s="7">
        <v>40186</v>
      </c>
      <c r="B24" t="s">
        <v>446</v>
      </c>
      <c r="C24" s="4" t="s">
        <v>25</v>
      </c>
    </row>
    <row r="25" spans="1:3">
      <c r="A25" s="7">
        <v>40186</v>
      </c>
      <c r="B25" t="s">
        <v>447</v>
      </c>
      <c r="C25" s="4" t="s">
        <v>25</v>
      </c>
    </row>
    <row r="26" spans="1:3">
      <c r="A26" s="7">
        <v>40200</v>
      </c>
      <c r="B26" t="s">
        <v>448</v>
      </c>
      <c r="C26" s="4" t="s">
        <v>449</v>
      </c>
    </row>
    <row r="27" spans="1:3">
      <c r="A27" s="7">
        <v>40200</v>
      </c>
      <c r="B27" t="s">
        <v>450</v>
      </c>
      <c r="C27" s="4" t="s">
        <v>27</v>
      </c>
    </row>
    <row r="28" spans="1:3">
      <c r="A28" s="7">
        <v>40200</v>
      </c>
      <c r="B28" t="s">
        <v>451</v>
      </c>
      <c r="C28" s="4" t="s">
        <v>25</v>
      </c>
    </row>
    <row r="29" spans="1:3">
      <c r="A29" s="7">
        <v>40207</v>
      </c>
      <c r="B29" t="s">
        <v>452</v>
      </c>
      <c r="C29" s="4" t="s">
        <v>453</v>
      </c>
    </row>
    <row r="30" spans="1:3">
      <c r="A30" s="7">
        <v>40207</v>
      </c>
      <c r="B30" t="s">
        <v>454</v>
      </c>
      <c r="C30" s="4" t="s">
        <v>455</v>
      </c>
    </row>
    <row r="31" spans="1:3">
      <c r="A31" s="7">
        <v>40207</v>
      </c>
      <c r="B31" t="s">
        <v>456</v>
      </c>
      <c r="C31" s="4" t="s">
        <v>25</v>
      </c>
    </row>
    <row r="32" spans="1:3">
      <c r="A32" s="7">
        <v>40207</v>
      </c>
      <c r="B32" t="s">
        <v>457</v>
      </c>
      <c r="C32" s="4" t="s">
        <v>25</v>
      </c>
    </row>
    <row r="33" spans="1:3">
      <c r="A33" s="7">
        <v>40207</v>
      </c>
      <c r="B33" t="s">
        <v>458</v>
      </c>
      <c r="C33" s="4" t="s">
        <v>25</v>
      </c>
    </row>
    <row r="34" spans="1:3">
      <c r="A34" s="7">
        <v>40212</v>
      </c>
      <c r="B34" t="s">
        <v>459</v>
      </c>
      <c r="C34" s="4" t="s">
        <v>25</v>
      </c>
    </row>
    <row r="35" spans="1:3">
      <c r="A35" s="7">
        <v>40214</v>
      </c>
      <c r="B35" t="s">
        <v>460</v>
      </c>
      <c r="C35" s="4" t="s">
        <v>461</v>
      </c>
    </row>
    <row r="36" spans="1:3">
      <c r="A36" s="7">
        <v>40214</v>
      </c>
      <c r="B36" t="s">
        <v>462</v>
      </c>
      <c r="C36" s="4" t="s">
        <v>463</v>
      </c>
    </row>
    <row r="37" spans="1:3">
      <c r="A37" s="7">
        <v>40214</v>
      </c>
      <c r="B37" t="s">
        <v>464</v>
      </c>
      <c r="C37" s="4" t="s">
        <v>25</v>
      </c>
    </row>
    <row r="38" spans="1:3">
      <c r="A38" s="7">
        <v>40214</v>
      </c>
      <c r="B38" t="s">
        <v>465</v>
      </c>
      <c r="C38" s="4" t="s">
        <v>25</v>
      </c>
    </row>
    <row r="39" spans="1:3">
      <c r="A39" s="7">
        <v>40221</v>
      </c>
      <c r="B39" t="s">
        <v>466</v>
      </c>
      <c r="C39" s="4" t="s">
        <v>25</v>
      </c>
    </row>
    <row r="40" spans="1:3">
      <c r="A40" s="7">
        <v>40221</v>
      </c>
      <c r="B40" t="s">
        <v>467</v>
      </c>
      <c r="C40" s="4" t="s">
        <v>25</v>
      </c>
    </row>
    <row r="41" spans="1:3">
      <c r="A41" s="7">
        <v>40221</v>
      </c>
      <c r="B41" t="s">
        <v>468</v>
      </c>
      <c r="C41" s="4" t="s">
        <v>25</v>
      </c>
    </row>
    <row r="42" spans="1:3">
      <c r="A42" s="6">
        <v>40221</v>
      </c>
      <c r="B42" s="5" t="s">
        <v>469</v>
      </c>
      <c r="C42" s="8" t="s">
        <v>470</v>
      </c>
    </row>
    <row r="43" spans="1:3">
      <c r="A43" s="7">
        <v>40228</v>
      </c>
      <c r="B43" t="s">
        <v>471</v>
      </c>
      <c r="C43" s="4" t="s">
        <v>25</v>
      </c>
    </row>
    <row r="44" spans="1:3">
      <c r="A44" s="7">
        <v>40228</v>
      </c>
      <c r="B44" t="s">
        <v>472</v>
      </c>
      <c r="C44" s="4" t="s">
        <v>25</v>
      </c>
    </row>
    <row r="45" spans="1:3">
      <c r="A45" s="7">
        <v>40242</v>
      </c>
      <c r="B45" t="s">
        <v>473</v>
      </c>
      <c r="C45" s="4" t="s">
        <v>474</v>
      </c>
    </row>
    <row r="46" spans="1:3">
      <c r="A46" s="7">
        <v>40242</v>
      </c>
      <c r="B46" t="s">
        <v>475</v>
      </c>
      <c r="C46" s="4" t="s">
        <v>27</v>
      </c>
    </row>
    <row r="47" spans="1:3">
      <c r="A47" s="7">
        <v>40242</v>
      </c>
      <c r="B47" t="s">
        <v>476</v>
      </c>
      <c r="C47" s="4" t="s">
        <v>477</v>
      </c>
    </row>
    <row r="48" spans="1:3">
      <c r="A48" s="7">
        <v>40242</v>
      </c>
      <c r="B48" t="s">
        <v>478</v>
      </c>
      <c r="C48" s="4" t="s">
        <v>25</v>
      </c>
    </row>
    <row r="49" spans="1:3">
      <c r="A49" s="7">
        <v>40249</v>
      </c>
      <c r="B49" t="s">
        <v>479</v>
      </c>
      <c r="C49" s="4" t="s">
        <v>480</v>
      </c>
    </row>
    <row r="50" spans="1:3">
      <c r="A50" s="7">
        <v>40249</v>
      </c>
      <c r="B50" t="s">
        <v>481</v>
      </c>
      <c r="C50" s="4" t="s">
        <v>25</v>
      </c>
    </row>
    <row r="51" spans="1:3">
      <c r="A51" s="7">
        <v>40249</v>
      </c>
      <c r="B51" t="s">
        <v>482</v>
      </c>
      <c r="C51" s="4" t="s">
        <v>25</v>
      </c>
    </row>
    <row r="52" spans="1:3">
      <c r="A52" s="7">
        <v>40256</v>
      </c>
      <c r="B52" t="s">
        <v>483</v>
      </c>
      <c r="C52" s="4" t="s">
        <v>484</v>
      </c>
    </row>
    <row r="53" spans="1:3">
      <c r="A53" s="7">
        <v>40256</v>
      </c>
      <c r="B53" t="s">
        <v>485</v>
      </c>
      <c r="C53" s="4" t="s">
        <v>25</v>
      </c>
    </row>
    <row r="54" spans="1:3">
      <c r="A54" s="7">
        <v>40256</v>
      </c>
      <c r="B54" t="s">
        <v>486</v>
      </c>
      <c r="C54" s="4" t="s">
        <v>25</v>
      </c>
    </row>
    <row r="55" spans="1:3">
      <c r="A55" s="7">
        <v>40256</v>
      </c>
      <c r="B55" t="s">
        <v>487</v>
      </c>
      <c r="C55" s="4" t="s">
        <v>25</v>
      </c>
    </row>
    <row r="56" spans="1:3">
      <c r="A56" s="7">
        <v>40256</v>
      </c>
      <c r="B56" t="s">
        <v>488</v>
      </c>
      <c r="C56" s="4" t="s">
        <v>25</v>
      </c>
    </row>
    <row r="57" spans="1:3">
      <c r="A57" s="7">
        <v>40263</v>
      </c>
      <c r="B57" t="s">
        <v>489</v>
      </c>
      <c r="C57" s="4" t="s">
        <v>25</v>
      </c>
    </row>
    <row r="58" spans="1:3">
      <c r="A58" s="7">
        <v>40263</v>
      </c>
      <c r="B58" t="s">
        <v>490</v>
      </c>
      <c r="C58" s="4" t="s">
        <v>25</v>
      </c>
    </row>
    <row r="59" spans="1:3">
      <c r="A59" s="7">
        <v>40269</v>
      </c>
      <c r="B59" t="s">
        <v>491</v>
      </c>
      <c r="C59" s="4" t="s">
        <v>492</v>
      </c>
    </row>
    <row r="60" spans="1:3">
      <c r="A60" s="7">
        <v>40270</v>
      </c>
      <c r="B60" t="s">
        <v>493</v>
      </c>
      <c r="C60" s="4" t="s">
        <v>25</v>
      </c>
    </row>
    <row r="61" spans="1:3">
      <c r="A61" s="7">
        <v>40277</v>
      </c>
      <c r="B61" t="s">
        <v>494</v>
      </c>
      <c r="C61" s="4" t="s">
        <v>25</v>
      </c>
    </row>
    <row r="62" spans="1:3">
      <c r="A62" s="7">
        <v>40292</v>
      </c>
      <c r="B62" t="s">
        <v>495</v>
      </c>
      <c r="C62" s="4" t="s">
        <v>496</v>
      </c>
    </row>
    <row r="63" spans="1:3">
      <c r="A63" s="7">
        <v>40298</v>
      </c>
      <c r="B63" t="s">
        <v>497</v>
      </c>
      <c r="C63" s="4" t="s">
        <v>25</v>
      </c>
    </row>
    <row r="64" spans="1:3">
      <c r="A64" s="7">
        <v>40312</v>
      </c>
      <c r="B64" t="s">
        <v>498</v>
      </c>
      <c r="C64" s="4" t="s">
        <v>499</v>
      </c>
    </row>
  </sheetData>
  <hyperlinks>
    <hyperlink ref="C2" r:id="rId1"/>
    <hyperlink ref="C3" r:id="rId2"/>
    <hyperlink ref="C1" r:id="rId3"/>
    <hyperlink ref="C4" r:id="rId4"/>
    <hyperlink ref="C5" r:id="rId5"/>
    <hyperlink ref="C6" r:id="rId6"/>
    <hyperlink ref="C9" r:id="rId7"/>
    <hyperlink ref="C11" r:id="rId8"/>
    <hyperlink ref="C10" r:id="rId9"/>
    <hyperlink ref="C12" r:id="rId10"/>
    <hyperlink ref="C21" r:id="rId11"/>
    <hyperlink ref="C16" r:id="rId12"/>
    <hyperlink ref="C62" r:id="rId13"/>
    <hyperlink ref="C49" r:id="rId14"/>
    <hyperlink ref="C18" r:id="rId15"/>
    <hyperlink ref="C52" r:id="rId16"/>
    <hyperlink ref="C22" r:id="rId17"/>
    <hyperlink ref="C15" r:id="rId18"/>
    <hyperlink ref="C45" r:id="rId19"/>
    <hyperlink ref="C59" r:id="rId20"/>
    <hyperlink ref="C35" r:id="rId21"/>
    <hyperlink ref="C64" r:id="rId22"/>
    <hyperlink ref="C26" r:id="rId23"/>
    <hyperlink ref="C29" r:id="rId24"/>
    <hyperlink ref="C19" r:id="rId25"/>
    <hyperlink ref="C36" r:id="rId26"/>
    <hyperlink ref="C30" r:id="rId27"/>
    <hyperlink ref="C27" r:id="rId28"/>
    <hyperlink ref="C46" r:id="rId29"/>
    <hyperlink ref="C13" r:id="rId30"/>
    <hyperlink ref="C14" r:id="rId31"/>
    <hyperlink ref="C17" r:id="rId32"/>
    <hyperlink ref="C20" r:id="rId33"/>
    <hyperlink ref="C23" r:id="rId34"/>
    <hyperlink ref="C24" r:id="rId35"/>
    <hyperlink ref="C25" r:id="rId36"/>
    <hyperlink ref="C28" r:id="rId37"/>
    <hyperlink ref="C31" r:id="rId38"/>
    <hyperlink ref="C32" r:id="rId39"/>
    <hyperlink ref="C33" r:id="rId40"/>
    <hyperlink ref="C34" r:id="rId41"/>
    <hyperlink ref="C37" r:id="rId42"/>
    <hyperlink ref="C38" r:id="rId43"/>
    <hyperlink ref="C39" r:id="rId44"/>
    <hyperlink ref="C40" r:id="rId45"/>
    <hyperlink ref="C41" r:id="rId46"/>
    <hyperlink ref="C43" r:id="rId47"/>
    <hyperlink ref="C44" r:id="rId48"/>
    <hyperlink ref="C47" r:id="rId49"/>
    <hyperlink ref="C48" r:id="rId50"/>
    <hyperlink ref="C50" r:id="rId51"/>
    <hyperlink ref="C51" r:id="rId52"/>
    <hyperlink ref="C53" r:id="rId53"/>
    <hyperlink ref="C54" r:id="rId54"/>
    <hyperlink ref="C55" r:id="rId55"/>
    <hyperlink ref="C56" r:id="rId56"/>
    <hyperlink ref="C57" r:id="rId57"/>
    <hyperlink ref="C58" r:id="rId58"/>
    <hyperlink ref="C60" r:id="rId59"/>
    <hyperlink ref="C61" r:id="rId60"/>
    <hyperlink ref="C42" r:id="rId61"/>
  </hyperlinks>
  <pageMargins left="0.7" right="0.7" top="0.75" bottom="0.75" header="0.3" footer="0.3"/>
  <pageSetup orientation="portrait" horizontalDpi="4294967293" verticalDpi="0" r:id="rId6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0"/>
  <sheetViews>
    <sheetView tabSelected="1" topLeftCell="A33" workbookViewId="0">
      <selection activeCell="C55" sqref="C55"/>
    </sheetView>
  </sheetViews>
  <sheetFormatPr defaultRowHeight="15"/>
  <cols>
    <col min="2" max="2" width="32" bestFit="1" customWidth="1"/>
  </cols>
  <sheetData>
    <row r="1" spans="1:3">
      <c r="A1" s="6">
        <v>40418</v>
      </c>
      <c r="B1" s="5" t="s">
        <v>33</v>
      </c>
      <c r="C1" s="4" t="s">
        <v>34</v>
      </c>
    </row>
    <row r="2" spans="1:3">
      <c r="A2" s="6">
        <v>40439</v>
      </c>
      <c r="B2" s="5" t="s">
        <v>32</v>
      </c>
      <c r="C2" s="4" t="s">
        <v>31</v>
      </c>
    </row>
    <row r="3" spans="1:3">
      <c r="A3" s="6">
        <v>40446</v>
      </c>
      <c r="B3" s="6" t="s">
        <v>2</v>
      </c>
      <c r="C3" s="3" t="s">
        <v>3</v>
      </c>
    </row>
    <row r="4" spans="1:3">
      <c r="A4" s="6">
        <v>40446</v>
      </c>
      <c r="B4" s="5" t="s">
        <v>8</v>
      </c>
      <c r="C4" s="3" t="s">
        <v>9</v>
      </c>
    </row>
    <row r="5" spans="1:3">
      <c r="A5" s="6">
        <v>40446</v>
      </c>
      <c r="B5" s="5" t="s">
        <v>10</v>
      </c>
      <c r="C5" s="3" t="s">
        <v>11</v>
      </c>
    </row>
    <row r="6" spans="1:3">
      <c r="A6" s="6">
        <v>40446</v>
      </c>
      <c r="B6" s="5" t="s">
        <v>14</v>
      </c>
      <c r="C6" s="3" t="s">
        <v>15</v>
      </c>
    </row>
    <row r="7" spans="1:3">
      <c r="A7" s="6">
        <v>40446</v>
      </c>
      <c r="B7" s="5" t="s">
        <v>12</v>
      </c>
      <c r="C7" s="3" t="s">
        <v>13</v>
      </c>
    </row>
    <row r="8" spans="1:3">
      <c r="A8" s="6">
        <v>40453</v>
      </c>
      <c r="B8" s="5" t="s">
        <v>29</v>
      </c>
      <c r="C8" s="3" t="s">
        <v>30</v>
      </c>
    </row>
    <row r="9" spans="1:3">
      <c r="A9" s="6">
        <v>40453</v>
      </c>
      <c r="B9" s="5" t="s">
        <v>20</v>
      </c>
      <c r="C9" s="3" t="s">
        <v>21</v>
      </c>
    </row>
    <row r="10" spans="1:3">
      <c r="A10" s="6">
        <v>40453</v>
      </c>
      <c r="B10" s="5" t="s">
        <v>22</v>
      </c>
      <c r="C10" s="3" t="s">
        <v>23</v>
      </c>
    </row>
    <row r="11" spans="1:3">
      <c r="A11" s="6">
        <v>40453</v>
      </c>
      <c r="B11" s="5" t="s">
        <v>16</v>
      </c>
      <c r="C11" s="3" t="s">
        <v>17</v>
      </c>
    </row>
    <row r="12" spans="1:3">
      <c r="A12" s="6">
        <v>40453</v>
      </c>
      <c r="B12" s="5" t="s">
        <v>28</v>
      </c>
      <c r="C12" s="4" t="s">
        <v>119</v>
      </c>
    </row>
    <row r="13" spans="1:3">
      <c r="A13" s="6">
        <v>40453</v>
      </c>
      <c r="B13" s="5" t="s">
        <v>26</v>
      </c>
      <c r="C13" s="3" t="s">
        <v>27</v>
      </c>
    </row>
    <row r="14" spans="1:3">
      <c r="A14" s="6">
        <v>40467</v>
      </c>
      <c r="B14" s="5" t="s">
        <v>124</v>
      </c>
      <c r="C14" s="4" t="s">
        <v>125</v>
      </c>
    </row>
    <row r="15" spans="1:3">
      <c r="A15" s="6">
        <v>40467</v>
      </c>
      <c r="B15" s="5" t="s">
        <v>128</v>
      </c>
      <c r="C15" s="4" t="s">
        <v>129</v>
      </c>
    </row>
    <row r="16" spans="1:3">
      <c r="A16" s="6">
        <v>40467</v>
      </c>
      <c r="B16" s="5" t="s">
        <v>132</v>
      </c>
      <c r="C16" s="4" t="s">
        <v>133</v>
      </c>
    </row>
    <row r="17" spans="1:3">
      <c r="A17" s="6">
        <v>40467</v>
      </c>
      <c r="B17" s="5" t="s">
        <v>134</v>
      </c>
      <c r="C17" s="4" t="s">
        <v>135</v>
      </c>
    </row>
    <row r="18" spans="1:3">
      <c r="A18" s="6">
        <v>40467</v>
      </c>
      <c r="B18" s="5" t="s">
        <v>138</v>
      </c>
      <c r="C18" s="4" t="s">
        <v>27</v>
      </c>
    </row>
    <row r="19" spans="1:3">
      <c r="A19" s="6">
        <v>40467</v>
      </c>
      <c r="B19" s="5" t="s">
        <v>130</v>
      </c>
      <c r="C19" s="4" t="s">
        <v>131</v>
      </c>
    </row>
    <row r="20" spans="1:3">
      <c r="A20" s="6">
        <v>40467</v>
      </c>
      <c r="B20" s="5" t="s">
        <v>126</v>
      </c>
      <c r="C20" s="4" t="s">
        <v>127</v>
      </c>
    </row>
    <row r="21" spans="1:3">
      <c r="A21" s="6">
        <v>40467</v>
      </c>
      <c r="B21" s="5" t="s">
        <v>136</v>
      </c>
      <c r="C21" s="4" t="s">
        <v>137</v>
      </c>
    </row>
    <row r="22" spans="1:3">
      <c r="A22" s="6">
        <v>40474</v>
      </c>
      <c r="B22" s="5" t="s">
        <v>167</v>
      </c>
      <c r="C22" s="4" t="s">
        <v>168</v>
      </c>
    </row>
    <row r="23" spans="1:3">
      <c r="A23" s="6">
        <v>40474</v>
      </c>
      <c r="B23" s="5" t="s">
        <v>161</v>
      </c>
      <c r="C23" s="4" t="s">
        <v>162</v>
      </c>
    </row>
    <row r="24" spans="1:3">
      <c r="A24" s="6">
        <v>40474</v>
      </c>
      <c r="B24" s="5" t="s">
        <v>163</v>
      </c>
      <c r="C24" s="4" t="s">
        <v>164</v>
      </c>
    </row>
    <row r="25" spans="1:3">
      <c r="A25" s="6">
        <v>40474</v>
      </c>
      <c r="B25" s="5" t="s">
        <v>172</v>
      </c>
      <c r="C25" s="3" t="s">
        <v>173</v>
      </c>
    </row>
    <row r="26" spans="1:3">
      <c r="A26" s="6">
        <v>40474</v>
      </c>
      <c r="B26" s="5" t="s">
        <v>165</v>
      </c>
      <c r="C26" s="4" t="s">
        <v>166</v>
      </c>
    </row>
    <row r="27" spans="1:3">
      <c r="A27" s="6">
        <v>40474</v>
      </c>
      <c r="B27" s="5" t="s">
        <v>257</v>
      </c>
      <c r="C27" s="4" t="s">
        <v>258</v>
      </c>
    </row>
    <row r="28" spans="1:3">
      <c r="A28" s="6">
        <v>40474</v>
      </c>
      <c r="B28" s="5" t="s">
        <v>170</v>
      </c>
      <c r="C28" s="4" t="s">
        <v>171</v>
      </c>
    </row>
    <row r="29" spans="1:3">
      <c r="A29" s="6">
        <v>40481</v>
      </c>
      <c r="B29" s="5" t="s">
        <v>205</v>
      </c>
      <c r="C29" s="4" t="s">
        <v>206</v>
      </c>
    </row>
    <row r="30" spans="1:3">
      <c r="A30" s="6">
        <v>40481</v>
      </c>
      <c r="B30" s="5" t="s">
        <v>201</v>
      </c>
      <c r="C30" s="4" t="s">
        <v>202</v>
      </c>
    </row>
    <row r="31" spans="1:3">
      <c r="A31" s="6">
        <v>40481</v>
      </c>
      <c r="B31" s="5" t="s">
        <v>209</v>
      </c>
      <c r="C31" s="4" t="s">
        <v>210</v>
      </c>
    </row>
    <row r="32" spans="1:3">
      <c r="A32" s="6">
        <v>40481</v>
      </c>
      <c r="B32" s="5" t="s">
        <v>203</v>
      </c>
      <c r="C32" s="4" t="s">
        <v>204</v>
      </c>
    </row>
    <row r="33" spans="1:3">
      <c r="A33" s="6">
        <v>40481</v>
      </c>
      <c r="B33" s="5" t="s">
        <v>211</v>
      </c>
      <c r="C33" s="4" t="s">
        <v>212</v>
      </c>
    </row>
    <row r="34" spans="1:3">
      <c r="A34" s="6">
        <v>40481</v>
      </c>
      <c r="B34" s="5" t="s">
        <v>215</v>
      </c>
      <c r="C34" s="4" t="s">
        <v>216</v>
      </c>
    </row>
    <row r="35" spans="1:3">
      <c r="A35" s="6">
        <v>40481</v>
      </c>
      <c r="B35" s="5" t="s">
        <v>207</v>
      </c>
      <c r="C35" s="4" t="s">
        <v>208</v>
      </c>
    </row>
    <row r="36" spans="1:3">
      <c r="A36" s="6">
        <v>40481</v>
      </c>
      <c r="B36" s="5" t="s">
        <v>199</v>
      </c>
      <c r="C36" s="4" t="s">
        <v>200</v>
      </c>
    </row>
    <row r="37" spans="1:3">
      <c r="A37" s="6">
        <v>40481</v>
      </c>
      <c r="B37" s="5" t="s">
        <v>214</v>
      </c>
      <c r="C37" s="4" t="s">
        <v>25</v>
      </c>
    </row>
    <row r="38" spans="1:3">
      <c r="A38" s="7">
        <v>40488</v>
      </c>
      <c r="B38" t="s">
        <v>292</v>
      </c>
      <c r="C38" s="4" t="s">
        <v>293</v>
      </c>
    </row>
    <row r="39" spans="1:3">
      <c r="A39" s="7">
        <v>40488</v>
      </c>
      <c r="B39" t="s">
        <v>217</v>
      </c>
      <c r="C39" s="4" t="s">
        <v>218</v>
      </c>
    </row>
    <row r="40" spans="1:3">
      <c r="A40" s="7">
        <v>40488</v>
      </c>
      <c r="B40" t="s">
        <v>219</v>
      </c>
      <c r="C40" s="4" t="s">
        <v>25</v>
      </c>
    </row>
    <row r="41" spans="1:3">
      <c r="A41" s="7">
        <v>40488</v>
      </c>
      <c r="B41" t="s">
        <v>310</v>
      </c>
      <c r="C41" s="4" t="s">
        <v>311</v>
      </c>
    </row>
    <row r="42" spans="1:3">
      <c r="A42" s="7">
        <v>40488</v>
      </c>
      <c r="B42" t="s">
        <v>312</v>
      </c>
      <c r="C42" s="4" t="s">
        <v>313</v>
      </c>
    </row>
    <row r="43" spans="1:3">
      <c r="A43" s="7">
        <v>40488</v>
      </c>
      <c r="B43" t="s">
        <v>220</v>
      </c>
      <c r="C43" s="4" t="s">
        <v>25</v>
      </c>
    </row>
    <row r="44" spans="1:3">
      <c r="A44" s="7">
        <v>40489</v>
      </c>
      <c r="B44" t="s">
        <v>500</v>
      </c>
      <c r="C44" s="4" t="s">
        <v>501</v>
      </c>
    </row>
    <row r="45" spans="1:3">
      <c r="A45" s="7">
        <v>40495</v>
      </c>
      <c r="B45" t="s">
        <v>324</v>
      </c>
      <c r="C45" s="4" t="s">
        <v>336</v>
      </c>
    </row>
    <row r="46" spans="1:3">
      <c r="A46" s="7">
        <v>40495</v>
      </c>
      <c r="B46" t="s">
        <v>346</v>
      </c>
      <c r="C46" s="4" t="s">
        <v>347</v>
      </c>
    </row>
    <row r="47" spans="1:3">
      <c r="A47" s="7">
        <v>40495</v>
      </c>
      <c r="B47" t="s">
        <v>222</v>
      </c>
      <c r="C47" s="4" t="s">
        <v>223</v>
      </c>
    </row>
    <row r="48" spans="1:3">
      <c r="A48" s="7">
        <v>40495</v>
      </c>
      <c r="B48" t="s">
        <v>228</v>
      </c>
      <c r="C48" s="4" t="s">
        <v>229</v>
      </c>
    </row>
    <row r="49" spans="1:4">
      <c r="A49" s="7">
        <v>40495</v>
      </c>
      <c r="B49" t="s">
        <v>368</v>
      </c>
      <c r="C49" s="4" t="s">
        <v>371</v>
      </c>
    </row>
    <row r="50" spans="1:4">
      <c r="A50" s="7">
        <v>40495</v>
      </c>
      <c r="B50" t="s">
        <v>226</v>
      </c>
      <c r="C50" s="4" t="s">
        <v>227</v>
      </c>
    </row>
    <row r="51" spans="1:4">
      <c r="A51" s="7">
        <v>40495</v>
      </c>
      <c r="B51" t="s">
        <v>234</v>
      </c>
      <c r="C51" s="4" t="s">
        <v>25</v>
      </c>
    </row>
    <row r="52" spans="1:4">
      <c r="A52" s="7">
        <v>40495</v>
      </c>
      <c r="B52" t="s">
        <v>235</v>
      </c>
      <c r="C52" s="4" t="s">
        <v>25</v>
      </c>
    </row>
    <row r="53" spans="1:4">
      <c r="A53" s="1">
        <v>40495</v>
      </c>
      <c r="B53" s="2" t="s">
        <v>238</v>
      </c>
      <c r="C53" s="4" t="s">
        <v>239</v>
      </c>
    </row>
    <row r="54" spans="1:4">
      <c r="A54" s="7">
        <v>40495</v>
      </c>
      <c r="B54" s="2" t="s">
        <v>530</v>
      </c>
      <c r="C54" s="4" t="s">
        <v>537</v>
      </c>
    </row>
    <row r="55" spans="1:4">
      <c r="A55" s="7">
        <v>40495</v>
      </c>
      <c r="B55" t="s">
        <v>230</v>
      </c>
      <c r="C55" s="4" t="s">
        <v>231</v>
      </c>
    </row>
    <row r="56" spans="1:4">
      <c r="A56" s="7">
        <v>40502</v>
      </c>
      <c r="B56" t="s">
        <v>224</v>
      </c>
      <c r="C56" s="4" t="s">
        <v>225</v>
      </c>
    </row>
    <row r="57" spans="1:4">
      <c r="A57" s="7">
        <v>40502</v>
      </c>
      <c r="B57" t="s">
        <v>402</v>
      </c>
      <c r="C57" s="4" t="s">
        <v>406</v>
      </c>
    </row>
    <row r="58" spans="1:4">
      <c r="A58" s="7">
        <v>40502</v>
      </c>
      <c r="B58" t="s">
        <v>407</v>
      </c>
    </row>
    <row r="59" spans="1:4">
      <c r="A59" s="7">
        <v>40502</v>
      </c>
      <c r="B59" t="s">
        <v>417</v>
      </c>
      <c r="C59" s="4" t="s">
        <v>418</v>
      </c>
    </row>
    <row r="60" spans="1:4">
      <c r="A60" s="7">
        <v>40502</v>
      </c>
      <c r="B60" t="s">
        <v>419</v>
      </c>
      <c r="C60" s="4" t="s">
        <v>25</v>
      </c>
    </row>
    <row r="61" spans="1:4">
      <c r="A61" s="7">
        <v>40495</v>
      </c>
      <c r="B61" t="s">
        <v>236</v>
      </c>
      <c r="C61" s="4" t="s">
        <v>25</v>
      </c>
      <c r="D61" t="s">
        <v>527</v>
      </c>
    </row>
    <row r="62" spans="1:4">
      <c r="A62" s="7">
        <v>40509</v>
      </c>
      <c r="B62" t="s">
        <v>1017</v>
      </c>
      <c r="C62" s="4" t="s">
        <v>1018</v>
      </c>
    </row>
    <row r="63" spans="1:4">
      <c r="A63" s="7">
        <v>40515</v>
      </c>
      <c r="B63" t="s">
        <v>1043</v>
      </c>
      <c r="C63" s="4" t="s">
        <v>1049</v>
      </c>
    </row>
    <row r="64" spans="1:4">
      <c r="A64" s="7">
        <v>40516</v>
      </c>
      <c r="B64" t="s">
        <v>434</v>
      </c>
      <c r="C64" s="4" t="s">
        <v>27</v>
      </c>
    </row>
    <row r="65" spans="1:4">
      <c r="A65" s="7">
        <v>40516</v>
      </c>
      <c r="B65" t="s">
        <v>1027</v>
      </c>
      <c r="C65" s="4" t="s">
        <v>1028</v>
      </c>
    </row>
    <row r="66" spans="1:4">
      <c r="A66" s="7">
        <v>40516</v>
      </c>
      <c r="B66" t="s">
        <v>426</v>
      </c>
      <c r="C66" s="4" t="s">
        <v>427</v>
      </c>
    </row>
    <row r="67" spans="1:4">
      <c r="A67" s="7">
        <v>40516</v>
      </c>
      <c r="B67" t="s">
        <v>428</v>
      </c>
      <c r="C67" s="4" t="s">
        <v>429</v>
      </c>
    </row>
    <row r="68" spans="1:4">
      <c r="A68" s="7">
        <v>40516</v>
      </c>
      <c r="B68" t="s">
        <v>430</v>
      </c>
      <c r="C68" s="4" t="s">
        <v>431</v>
      </c>
    </row>
    <row r="69" spans="1:4">
      <c r="A69" s="7">
        <v>40516</v>
      </c>
      <c r="B69" t="s">
        <v>432</v>
      </c>
      <c r="C69" s="4" t="s">
        <v>433</v>
      </c>
    </row>
    <row r="70" spans="1:4">
      <c r="A70" s="7">
        <v>40481</v>
      </c>
      <c r="B70" t="s">
        <v>213</v>
      </c>
      <c r="C70" s="4" t="s">
        <v>25</v>
      </c>
      <c r="D70" t="s">
        <v>520</v>
      </c>
    </row>
  </sheetData>
  <sortState ref="A2:D58">
    <sortCondition ref="A58"/>
  </sortState>
  <hyperlinks>
    <hyperlink ref="C1" r:id="rId1"/>
    <hyperlink ref="C2" r:id="rId2"/>
    <hyperlink ref="C3" r:id="rId3"/>
    <hyperlink ref="C4" r:id="rId4"/>
    <hyperlink ref="C5" r:id="rId5"/>
    <hyperlink ref="C6" r:id="rId6"/>
    <hyperlink ref="C8" r:id="rId7"/>
    <hyperlink ref="C9" r:id="rId8"/>
    <hyperlink ref="C10" r:id="rId9"/>
    <hyperlink ref="C11" r:id="rId10"/>
    <hyperlink ref="C12" r:id="rId11" location="10716"/>
    <hyperlink ref="C13" r:id="rId12"/>
    <hyperlink ref="C7" r:id="rId13"/>
    <hyperlink ref="C14" r:id="rId14"/>
    <hyperlink ref="C15" r:id="rId15"/>
    <hyperlink ref="C16" r:id="rId16" display="http://naqt.com/schedule.jsp?hs=yes"/>
    <hyperlink ref="C17" r:id="rId17"/>
    <hyperlink ref="C18" r:id="rId18" display="http://naqt.com/schedule.jsp?hs=yes"/>
    <hyperlink ref="C19" r:id="rId19" display="http://naqt.com/schedule.jsp?hs=yes"/>
    <hyperlink ref="C20" r:id="rId20"/>
    <hyperlink ref="C22" r:id="rId21"/>
    <hyperlink ref="C23" r:id="rId22" display="http://naqt.com/schedule.jsp?hs=yes"/>
    <hyperlink ref="C24" r:id="rId23" display="http://naqt.com/schedule.jsp?hs=yes"/>
    <hyperlink ref="C25" r:id="rId24"/>
    <hyperlink ref="C26" r:id="rId25"/>
    <hyperlink ref="C27" r:id="rId26"/>
    <hyperlink ref="C29" r:id="rId27"/>
    <hyperlink ref="C30" r:id="rId28"/>
    <hyperlink ref="C31" r:id="rId29"/>
    <hyperlink ref="C32" r:id="rId30"/>
    <hyperlink ref="C33" r:id="rId31"/>
    <hyperlink ref="C34" r:id="rId32"/>
    <hyperlink ref="C21" r:id="rId33" display="http://naqt.com/schedule.jsp?hs=yes"/>
    <hyperlink ref="C35" r:id="rId34"/>
    <hyperlink ref="C38" r:id="rId35"/>
    <hyperlink ref="C39" r:id="rId36"/>
    <hyperlink ref="C41" r:id="rId37"/>
    <hyperlink ref="C42" r:id="rId38"/>
    <hyperlink ref="C45" r:id="rId39"/>
    <hyperlink ref="C46" r:id="rId40"/>
    <hyperlink ref="C47" r:id="rId41"/>
    <hyperlink ref="C48" r:id="rId42"/>
    <hyperlink ref="C49" r:id="rId43"/>
    <hyperlink ref="C36" r:id="rId44"/>
    <hyperlink ref="C50" r:id="rId45"/>
    <hyperlink ref="C51" r:id="rId46"/>
    <hyperlink ref="C56" r:id="rId47"/>
    <hyperlink ref="C57" r:id="rId48"/>
    <hyperlink ref="C44" r:id="rId49"/>
    <hyperlink ref="C37" r:id="rId50"/>
    <hyperlink ref="C52" r:id="rId51"/>
    <hyperlink ref="C53" r:id="rId52"/>
    <hyperlink ref="C54" r:id="rId53"/>
    <hyperlink ref="C28" r:id="rId54"/>
    <hyperlink ref="C55" r:id="rId55"/>
    <hyperlink ref="C59" r:id="rId56"/>
    <hyperlink ref="C60" r:id="rId57"/>
    <hyperlink ref="C61" r:id="rId58"/>
    <hyperlink ref="C62" r:id="rId59"/>
    <hyperlink ref="C64" r:id="rId60"/>
    <hyperlink ref="C65" r:id="rId61"/>
    <hyperlink ref="C66" r:id="rId62"/>
    <hyperlink ref="C67" r:id="rId63"/>
    <hyperlink ref="C68" r:id="rId64"/>
    <hyperlink ref="C63" r:id="rId65"/>
    <hyperlink ref="C69" r:id="rId66"/>
  </hyperlinks>
  <pageMargins left="0.7" right="0.7" top="0.75" bottom="0.75" header="0.3" footer="0.3"/>
  <pageSetup orientation="portrait" horizontalDpi="4294967293" verticalDpi="0" r:id="rId67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53"/>
  <sheetViews>
    <sheetView workbookViewId="0">
      <selection activeCell="A4" sqref="A4"/>
    </sheetView>
  </sheetViews>
  <sheetFormatPr defaultRowHeight="15"/>
  <cols>
    <col min="1" max="1" width="21.42578125" bestFit="1" customWidth="1"/>
    <col min="2" max="2" width="13.85546875" bestFit="1" customWidth="1"/>
    <col min="3" max="3" width="12.42578125" bestFit="1" customWidth="1"/>
    <col min="4" max="4" width="21.5703125" bestFit="1" customWidth="1"/>
    <col min="5" max="6" width="21.42578125" bestFit="1" customWidth="1"/>
    <col min="7" max="7" width="16.5703125" bestFit="1" customWidth="1"/>
    <col min="8" max="8" width="20.42578125" bestFit="1" customWidth="1"/>
    <col min="9" max="9" width="12.42578125" bestFit="1" customWidth="1"/>
    <col min="10" max="10" width="18.28515625" bestFit="1" customWidth="1"/>
    <col min="11" max="11" width="23.85546875" bestFit="1" customWidth="1"/>
    <col min="12" max="12" width="22.140625" bestFit="1" customWidth="1"/>
    <col min="13" max="13" width="22.85546875" bestFit="1" customWidth="1"/>
    <col min="14" max="14" width="17.7109375" bestFit="1" customWidth="1"/>
    <col min="15" max="15" width="17.28515625" bestFit="1" customWidth="1"/>
    <col min="16" max="16" width="26.140625" bestFit="1" customWidth="1"/>
    <col min="17" max="17" width="15.5703125" bestFit="1" customWidth="1"/>
    <col min="18" max="18" width="21.140625" bestFit="1" customWidth="1"/>
    <col min="19" max="19" width="20.42578125" bestFit="1" customWidth="1"/>
    <col min="20" max="20" width="20.7109375" bestFit="1" customWidth="1"/>
    <col min="21" max="21" width="20.140625" bestFit="1" customWidth="1"/>
    <col min="22" max="22" width="21.7109375" bestFit="1" customWidth="1"/>
    <col min="23" max="23" width="20.85546875" bestFit="1" customWidth="1"/>
    <col min="24" max="24" width="24.85546875" bestFit="1" customWidth="1"/>
    <col min="25" max="25" width="15.85546875" bestFit="1" customWidth="1"/>
    <col min="26" max="26" width="14.7109375" bestFit="1" customWidth="1"/>
    <col min="27" max="27" width="17.7109375" bestFit="1" customWidth="1"/>
    <col min="28" max="28" width="23.5703125" bestFit="1" customWidth="1"/>
    <col min="29" max="29" width="14.85546875" bestFit="1" customWidth="1"/>
    <col min="30" max="30" width="22.42578125" bestFit="1" customWidth="1"/>
    <col min="31" max="31" width="30" bestFit="1" customWidth="1"/>
    <col min="32" max="32" width="22.85546875" bestFit="1" customWidth="1"/>
    <col min="33" max="33" width="18.5703125" bestFit="1" customWidth="1"/>
    <col min="34" max="34" width="15.5703125" bestFit="1" customWidth="1"/>
    <col min="35" max="35" width="18.140625" bestFit="1" customWidth="1"/>
    <col min="36" max="36" width="19.42578125" bestFit="1" customWidth="1"/>
    <col min="37" max="37" width="25.7109375" bestFit="1" customWidth="1"/>
  </cols>
  <sheetData>
    <row r="1" spans="1:37">
      <c r="A1" s="5" t="s">
        <v>33</v>
      </c>
      <c r="B1" s="5" t="s">
        <v>32</v>
      </c>
      <c r="C1" s="6" t="s">
        <v>2</v>
      </c>
      <c r="D1" s="5" t="s">
        <v>8</v>
      </c>
      <c r="E1" s="5" t="s">
        <v>637</v>
      </c>
      <c r="F1" s="5" t="s">
        <v>14</v>
      </c>
      <c r="G1" s="5" t="s">
        <v>12</v>
      </c>
      <c r="H1" s="5" t="s">
        <v>29</v>
      </c>
      <c r="I1" s="5" t="s">
        <v>645</v>
      </c>
      <c r="J1" s="5" t="s">
        <v>22</v>
      </c>
      <c r="K1" s="5" t="s">
        <v>16</v>
      </c>
      <c r="L1" s="5" t="s">
        <v>28</v>
      </c>
      <c r="M1" s="5" t="s">
        <v>26</v>
      </c>
      <c r="N1" s="5" t="s">
        <v>124</v>
      </c>
      <c r="O1" s="5" t="s">
        <v>128</v>
      </c>
      <c r="P1" s="5" t="s">
        <v>132</v>
      </c>
      <c r="Q1" s="5" t="s">
        <v>134</v>
      </c>
      <c r="R1" s="5" t="s">
        <v>138</v>
      </c>
      <c r="S1" s="5" t="s">
        <v>130</v>
      </c>
      <c r="T1" s="5" t="s">
        <v>126</v>
      </c>
      <c r="U1" s="5" t="s">
        <v>136</v>
      </c>
      <c r="V1" s="5" t="s">
        <v>167</v>
      </c>
      <c r="W1" s="5" t="s">
        <v>161</v>
      </c>
      <c r="X1" s="5" t="s">
        <v>163</v>
      </c>
      <c r="Y1" s="5" t="s">
        <v>172</v>
      </c>
      <c r="Z1" s="5" t="s">
        <v>165</v>
      </c>
      <c r="AA1" s="5" t="s">
        <v>257</v>
      </c>
      <c r="AB1" s="5" t="s">
        <v>887</v>
      </c>
      <c r="AC1" s="5" t="s">
        <v>917</v>
      </c>
      <c r="AD1" s="5" t="s">
        <v>201</v>
      </c>
      <c r="AE1" s="5" t="s">
        <v>209</v>
      </c>
      <c r="AF1" s="5" t="s">
        <v>203</v>
      </c>
      <c r="AG1" s="5" t="s">
        <v>211</v>
      </c>
      <c r="AH1" s="5" t="s">
        <v>215</v>
      </c>
      <c r="AI1" s="5" t="s">
        <v>207</v>
      </c>
      <c r="AJ1" s="5" t="s">
        <v>199</v>
      </c>
      <c r="AK1" s="5" t="s">
        <v>214</v>
      </c>
    </row>
    <row r="2" spans="1:37">
      <c r="A2" t="s">
        <v>560</v>
      </c>
      <c r="B2" s="2" t="s">
        <v>556</v>
      </c>
      <c r="C2" t="s">
        <v>575</v>
      </c>
      <c r="D2" t="s">
        <v>271</v>
      </c>
      <c r="E2" t="s">
        <v>582</v>
      </c>
      <c r="F2" t="s">
        <v>603</v>
      </c>
      <c r="G2" t="s">
        <v>621</v>
      </c>
      <c r="H2" t="s">
        <v>642</v>
      </c>
      <c r="I2" t="s">
        <v>146</v>
      </c>
      <c r="J2" t="s">
        <v>669</v>
      </c>
      <c r="K2" t="s">
        <v>680</v>
      </c>
      <c r="L2" t="s">
        <v>700</v>
      </c>
      <c r="M2" t="s">
        <v>723</v>
      </c>
      <c r="N2" t="s">
        <v>140</v>
      </c>
      <c r="O2" t="s">
        <v>733</v>
      </c>
      <c r="P2" t="s">
        <v>745</v>
      </c>
      <c r="Q2" t="s">
        <v>669</v>
      </c>
      <c r="R2" t="s">
        <v>52</v>
      </c>
      <c r="S2" t="s">
        <v>790</v>
      </c>
      <c r="T2" t="s">
        <v>177</v>
      </c>
      <c r="U2" t="s">
        <v>818</v>
      </c>
      <c r="V2" t="s">
        <v>334</v>
      </c>
      <c r="W2" t="s">
        <v>834</v>
      </c>
      <c r="X2" t="s">
        <v>852</v>
      </c>
      <c r="Y2" t="s">
        <v>854</v>
      </c>
      <c r="Z2" t="s">
        <v>93</v>
      </c>
      <c r="AA2" t="s">
        <v>261</v>
      </c>
      <c r="AB2" t="s">
        <v>885</v>
      </c>
      <c r="AC2" t="s">
        <v>902</v>
      </c>
      <c r="AD2" t="s">
        <v>912</v>
      </c>
      <c r="AE2" t="s">
        <v>922</v>
      </c>
      <c r="AF2" t="s">
        <v>937</v>
      </c>
      <c r="AG2" t="s">
        <v>952</v>
      </c>
      <c r="AH2" t="s">
        <v>958</v>
      </c>
      <c r="AI2" t="s">
        <v>669</v>
      </c>
      <c r="AJ2" t="s">
        <v>990</v>
      </c>
      <c r="AK2" t="s">
        <v>1001</v>
      </c>
    </row>
    <row r="3" spans="1:37">
      <c r="A3" t="s">
        <v>551</v>
      </c>
      <c r="B3" t="s">
        <v>570</v>
      </c>
      <c r="C3" t="s">
        <v>576</v>
      </c>
      <c r="D3" t="s">
        <v>62</v>
      </c>
      <c r="E3" t="s">
        <v>596</v>
      </c>
      <c r="F3" t="s">
        <v>318</v>
      </c>
      <c r="G3" t="s">
        <v>617</v>
      </c>
      <c r="H3" t="s">
        <v>640</v>
      </c>
      <c r="I3" t="s">
        <v>647</v>
      </c>
      <c r="J3" t="s">
        <v>674</v>
      </c>
      <c r="K3" t="s">
        <v>683</v>
      </c>
      <c r="L3" t="s">
        <v>695</v>
      </c>
      <c r="M3" t="s">
        <v>532</v>
      </c>
      <c r="N3" t="s">
        <v>278</v>
      </c>
      <c r="O3" t="s">
        <v>146</v>
      </c>
      <c r="P3" t="s">
        <v>150</v>
      </c>
      <c r="Q3" t="s">
        <v>674</v>
      </c>
      <c r="R3" t="s">
        <v>54</v>
      </c>
      <c r="S3" t="s">
        <v>785</v>
      </c>
      <c r="T3" t="s">
        <v>798</v>
      </c>
      <c r="U3" t="s">
        <v>814</v>
      </c>
      <c r="V3" t="s">
        <v>331</v>
      </c>
      <c r="W3" t="s">
        <v>830</v>
      </c>
      <c r="X3" t="s">
        <v>635</v>
      </c>
      <c r="Y3" t="s">
        <v>857</v>
      </c>
      <c r="Z3" t="s">
        <v>92</v>
      </c>
      <c r="AA3" t="s">
        <v>690</v>
      </c>
      <c r="AB3" t="s">
        <v>881</v>
      </c>
      <c r="AC3" t="s">
        <v>907</v>
      </c>
      <c r="AD3" t="s">
        <v>914</v>
      </c>
      <c r="AE3" t="s">
        <v>248</v>
      </c>
      <c r="AF3" t="s">
        <v>942</v>
      </c>
      <c r="AG3" t="s">
        <v>140</v>
      </c>
      <c r="AH3" t="s">
        <v>283</v>
      </c>
      <c r="AI3" t="s">
        <v>583</v>
      </c>
      <c r="AJ3" t="s">
        <v>993</v>
      </c>
      <c r="AK3" t="s">
        <v>1003</v>
      </c>
    </row>
    <row r="4" spans="1:37">
      <c r="A4" t="s">
        <v>558</v>
      </c>
      <c r="B4" s="1" t="s">
        <v>318</v>
      </c>
      <c r="C4" t="s">
        <v>52</v>
      </c>
      <c r="D4" t="s">
        <v>59</v>
      </c>
      <c r="E4" t="s">
        <v>600</v>
      </c>
      <c r="F4" t="s">
        <v>0</v>
      </c>
      <c r="G4" t="s">
        <v>635</v>
      </c>
      <c r="H4" t="s">
        <v>641</v>
      </c>
      <c r="I4" t="s">
        <v>649</v>
      </c>
      <c r="J4" t="s">
        <v>676</v>
      </c>
      <c r="K4" t="s">
        <v>687</v>
      </c>
      <c r="L4" t="s">
        <v>694</v>
      </c>
      <c r="M4" t="s">
        <v>533</v>
      </c>
      <c r="N4" t="s">
        <v>291</v>
      </c>
      <c r="O4" t="s">
        <v>731</v>
      </c>
      <c r="P4" t="s">
        <v>735</v>
      </c>
      <c r="Q4" t="s">
        <v>756</v>
      </c>
      <c r="R4" t="s">
        <v>55</v>
      </c>
      <c r="S4" t="s">
        <v>775</v>
      </c>
      <c r="T4" t="s">
        <v>804</v>
      </c>
      <c r="U4" t="s">
        <v>297</v>
      </c>
      <c r="V4" t="s">
        <v>183</v>
      </c>
      <c r="W4" t="s">
        <v>826</v>
      </c>
      <c r="X4" t="s">
        <v>838</v>
      </c>
      <c r="Y4" t="s">
        <v>856</v>
      </c>
      <c r="Z4" t="s">
        <v>665</v>
      </c>
      <c r="AA4" t="s">
        <v>105</v>
      </c>
      <c r="AB4" t="s">
        <v>886</v>
      </c>
      <c r="AC4" t="s">
        <v>890</v>
      </c>
      <c r="AD4" t="s">
        <v>915</v>
      </c>
      <c r="AE4" t="s">
        <v>48</v>
      </c>
      <c r="AF4" t="s">
        <v>275</v>
      </c>
      <c r="AG4" t="s">
        <v>278</v>
      </c>
      <c r="AH4" t="s">
        <v>953</v>
      </c>
      <c r="AI4" t="s">
        <v>601</v>
      </c>
      <c r="AJ4" t="s">
        <v>991</v>
      </c>
      <c r="AK4" t="s">
        <v>1009</v>
      </c>
    </row>
    <row r="5" spans="1:37">
      <c r="A5" t="s">
        <v>548</v>
      </c>
      <c r="B5" s="2" t="s">
        <v>561</v>
      </c>
      <c r="C5" t="s">
        <v>54</v>
      </c>
      <c r="D5" t="s">
        <v>270</v>
      </c>
      <c r="E5" t="s">
        <v>583</v>
      </c>
      <c r="F5" t="s">
        <v>605</v>
      </c>
      <c r="G5" t="s">
        <v>630</v>
      </c>
      <c r="H5" t="s">
        <v>643</v>
      </c>
      <c r="I5" t="s">
        <v>84</v>
      </c>
      <c r="J5" t="s">
        <v>672</v>
      </c>
      <c r="K5" t="s">
        <v>686</v>
      </c>
      <c r="L5" t="s">
        <v>691</v>
      </c>
      <c r="M5" t="s">
        <v>717</v>
      </c>
      <c r="N5" t="s">
        <v>359</v>
      </c>
      <c r="O5" t="s">
        <v>143</v>
      </c>
      <c r="P5" t="s">
        <v>739</v>
      </c>
      <c r="Q5" t="s">
        <v>750</v>
      </c>
      <c r="R5" t="s">
        <v>769</v>
      </c>
      <c r="S5" t="s">
        <v>772</v>
      </c>
      <c r="T5" t="s">
        <v>797</v>
      </c>
      <c r="U5" t="s">
        <v>319</v>
      </c>
      <c r="V5" t="s">
        <v>822</v>
      </c>
      <c r="W5" t="s">
        <v>143</v>
      </c>
      <c r="X5" t="s">
        <v>843</v>
      </c>
      <c r="Y5" t="s">
        <v>774</v>
      </c>
      <c r="Z5" t="s">
        <v>872</v>
      </c>
      <c r="AA5" t="s">
        <v>876</v>
      </c>
      <c r="AB5" t="s">
        <v>879</v>
      </c>
      <c r="AC5" t="s">
        <v>891</v>
      </c>
      <c r="AD5" t="s">
        <v>911</v>
      </c>
      <c r="AE5" t="s">
        <v>921</v>
      </c>
      <c r="AF5" t="s">
        <v>936</v>
      </c>
      <c r="AG5" t="s">
        <v>291</v>
      </c>
      <c r="AH5" t="s">
        <v>959</v>
      </c>
      <c r="AI5" t="s">
        <v>974</v>
      </c>
      <c r="AJ5" t="s">
        <v>379</v>
      </c>
      <c r="AK5" t="s">
        <v>1005</v>
      </c>
    </row>
    <row r="6" spans="1:37">
      <c r="A6" t="s">
        <v>43</v>
      </c>
      <c r="B6" s="2" t="s">
        <v>567</v>
      </c>
      <c r="C6" t="s">
        <v>55</v>
      </c>
      <c r="D6" t="s">
        <v>581</v>
      </c>
      <c r="E6" t="s">
        <v>601</v>
      </c>
      <c r="F6" t="s">
        <v>75</v>
      </c>
      <c r="G6" t="s">
        <v>620</v>
      </c>
      <c r="H6" t="s">
        <v>639</v>
      </c>
      <c r="I6" t="s">
        <v>650</v>
      </c>
      <c r="J6" t="s">
        <v>667</v>
      </c>
      <c r="K6" t="s">
        <v>681</v>
      </c>
      <c r="L6" t="s">
        <v>702</v>
      </c>
      <c r="M6" t="s">
        <v>716</v>
      </c>
      <c r="N6" t="s">
        <v>362</v>
      </c>
      <c r="O6" t="s">
        <v>145</v>
      </c>
      <c r="P6" t="s">
        <v>737</v>
      </c>
      <c r="Q6" t="s">
        <v>749</v>
      </c>
      <c r="R6" t="s">
        <v>767</v>
      </c>
      <c r="S6" t="s">
        <v>781</v>
      </c>
      <c r="T6" t="s">
        <v>799</v>
      </c>
      <c r="U6" t="s">
        <v>321</v>
      </c>
      <c r="V6" t="s">
        <v>820</v>
      </c>
      <c r="W6" t="s">
        <v>145</v>
      </c>
      <c r="X6" t="s">
        <v>847</v>
      </c>
      <c r="Y6" t="s">
        <v>782</v>
      </c>
      <c r="Z6" t="s">
        <v>875</v>
      </c>
      <c r="AA6" t="s">
        <v>877</v>
      </c>
      <c r="AB6" t="s">
        <v>883</v>
      </c>
      <c r="AC6" t="s">
        <v>905</v>
      </c>
      <c r="AD6" t="s">
        <v>778</v>
      </c>
      <c r="AE6" t="s">
        <v>933</v>
      </c>
      <c r="AF6" t="s">
        <v>938</v>
      </c>
      <c r="AG6" t="s">
        <v>359</v>
      </c>
      <c r="AH6" t="s">
        <v>960</v>
      </c>
      <c r="AI6" t="s">
        <v>978</v>
      </c>
      <c r="AJ6" t="s">
        <v>992</v>
      </c>
      <c r="AK6" t="s">
        <v>998</v>
      </c>
    </row>
    <row r="7" spans="1:37">
      <c r="A7" t="s">
        <v>556</v>
      </c>
      <c r="B7" s="2" t="s">
        <v>48</v>
      </c>
      <c r="C7" t="s">
        <v>571</v>
      </c>
      <c r="D7" t="s">
        <v>580</v>
      </c>
      <c r="E7" t="s">
        <v>594</v>
      </c>
      <c r="F7" t="s">
        <v>604</v>
      </c>
      <c r="G7" t="s">
        <v>612</v>
      </c>
      <c r="H7" t="s">
        <v>644</v>
      </c>
      <c r="I7" t="s">
        <v>646</v>
      </c>
      <c r="J7" t="s">
        <v>94</v>
      </c>
      <c r="K7" t="s">
        <v>261</v>
      </c>
      <c r="L7" t="s">
        <v>709</v>
      </c>
      <c r="M7" t="s">
        <v>726</v>
      </c>
      <c r="N7" t="s">
        <v>141</v>
      </c>
      <c r="O7" t="s">
        <v>144</v>
      </c>
      <c r="P7" t="s">
        <v>746</v>
      </c>
      <c r="Q7" t="s">
        <v>759</v>
      </c>
      <c r="R7" t="s">
        <v>763</v>
      </c>
      <c r="S7" t="s">
        <v>789</v>
      </c>
      <c r="T7" t="s">
        <v>802</v>
      </c>
      <c r="U7" t="s">
        <v>815</v>
      </c>
      <c r="V7" t="s">
        <v>184</v>
      </c>
      <c r="W7" t="s">
        <v>187</v>
      </c>
      <c r="X7" t="s">
        <v>842</v>
      </c>
      <c r="Y7" t="s">
        <v>855</v>
      </c>
      <c r="Z7" t="s">
        <v>243</v>
      </c>
      <c r="AA7" t="s">
        <v>259</v>
      </c>
      <c r="AB7" t="s">
        <v>878</v>
      </c>
      <c r="AC7" t="s">
        <v>896</v>
      </c>
      <c r="AD7" t="s">
        <v>908</v>
      </c>
      <c r="AE7" t="s">
        <v>928</v>
      </c>
      <c r="AF7" t="s">
        <v>944</v>
      </c>
      <c r="AG7" t="s">
        <v>951</v>
      </c>
      <c r="AH7" t="s">
        <v>961</v>
      </c>
      <c r="AI7" t="s">
        <v>988</v>
      </c>
      <c r="AJ7" t="s">
        <v>735</v>
      </c>
      <c r="AK7" t="s">
        <v>1008</v>
      </c>
    </row>
    <row r="8" spans="1:37">
      <c r="A8" t="s">
        <v>554</v>
      </c>
      <c r="B8" s="2" t="s">
        <v>563</v>
      </c>
      <c r="C8" t="s">
        <v>572</v>
      </c>
      <c r="D8" t="s">
        <v>578</v>
      </c>
      <c r="E8" t="s">
        <v>70</v>
      </c>
      <c r="F8" t="s">
        <v>608</v>
      </c>
      <c r="G8" t="s">
        <v>636</v>
      </c>
      <c r="H8" t="s">
        <v>638</v>
      </c>
      <c r="I8" t="s">
        <v>648</v>
      </c>
      <c r="J8" t="s">
        <v>93</v>
      </c>
      <c r="K8" t="s">
        <v>690</v>
      </c>
      <c r="L8" t="s">
        <v>692</v>
      </c>
      <c r="M8" t="s">
        <v>727</v>
      </c>
      <c r="N8" t="s">
        <v>728</v>
      </c>
      <c r="O8" t="s">
        <v>142</v>
      </c>
      <c r="P8" t="s">
        <v>148</v>
      </c>
      <c r="Q8" t="s">
        <v>753</v>
      </c>
      <c r="R8" t="s">
        <v>766</v>
      </c>
      <c r="S8" t="s">
        <v>792</v>
      </c>
      <c r="T8" t="s">
        <v>801</v>
      </c>
      <c r="U8" t="s">
        <v>813</v>
      </c>
      <c r="V8" t="s">
        <v>268</v>
      </c>
      <c r="W8" t="s">
        <v>832</v>
      </c>
      <c r="X8" t="s">
        <v>190</v>
      </c>
      <c r="Y8" t="s">
        <v>858</v>
      </c>
      <c r="Z8" t="s">
        <v>868</v>
      </c>
      <c r="AA8" t="s">
        <v>260</v>
      </c>
      <c r="AB8" t="s">
        <v>880</v>
      </c>
      <c r="AC8" t="s">
        <v>895</v>
      </c>
      <c r="AD8" t="s">
        <v>913</v>
      </c>
      <c r="AE8" t="s">
        <v>927</v>
      </c>
      <c r="AF8" t="s">
        <v>943</v>
      </c>
      <c r="AG8" t="s">
        <v>950</v>
      </c>
      <c r="AH8" t="s">
        <v>970</v>
      </c>
      <c r="AI8" t="s">
        <v>989</v>
      </c>
      <c r="AJ8" t="s">
        <v>995</v>
      </c>
      <c r="AK8" t="s">
        <v>1004</v>
      </c>
    </row>
    <row r="9" spans="1:37">
      <c r="A9" t="s">
        <v>318</v>
      </c>
      <c r="B9" s="2" t="s">
        <v>566</v>
      </c>
      <c r="C9" t="s">
        <v>573</v>
      </c>
      <c r="D9" t="s">
        <v>64</v>
      </c>
      <c r="E9" t="s">
        <v>72</v>
      </c>
      <c r="F9" t="s">
        <v>610</v>
      </c>
      <c r="G9" t="s">
        <v>111</v>
      </c>
      <c r="H9" t="s">
        <v>81</v>
      </c>
      <c r="I9" t="s">
        <v>85</v>
      </c>
      <c r="J9" t="s">
        <v>92</v>
      </c>
      <c r="K9" t="s">
        <v>684</v>
      </c>
      <c r="L9" t="s">
        <v>708</v>
      </c>
      <c r="M9" t="s">
        <v>721</v>
      </c>
      <c r="N9" t="s">
        <v>729</v>
      </c>
      <c r="O9" t="s">
        <v>732</v>
      </c>
      <c r="P9" t="s">
        <v>736</v>
      </c>
      <c r="Q9" t="s">
        <v>751</v>
      </c>
      <c r="R9" t="s">
        <v>764</v>
      </c>
      <c r="S9" t="s">
        <v>779</v>
      </c>
      <c r="T9" t="s">
        <v>800</v>
      </c>
      <c r="U9" t="s">
        <v>810</v>
      </c>
      <c r="V9" t="s">
        <v>269</v>
      </c>
      <c r="W9" t="s">
        <v>831</v>
      </c>
      <c r="X9" t="s">
        <v>839</v>
      </c>
      <c r="Y9" t="s">
        <v>859</v>
      </c>
      <c r="Z9" t="s">
        <v>865</v>
      </c>
      <c r="AB9" t="s">
        <v>882</v>
      </c>
      <c r="AC9" t="s">
        <v>903</v>
      </c>
      <c r="AD9" t="s">
        <v>910</v>
      </c>
      <c r="AE9" t="s">
        <v>934</v>
      </c>
      <c r="AF9" t="s">
        <v>941</v>
      </c>
      <c r="AG9" t="s">
        <v>949</v>
      </c>
      <c r="AH9" t="s">
        <v>282</v>
      </c>
      <c r="AI9" t="s">
        <v>981</v>
      </c>
      <c r="AJ9" t="s">
        <v>378</v>
      </c>
      <c r="AK9" t="s">
        <v>997</v>
      </c>
    </row>
    <row r="10" spans="1:37">
      <c r="A10" t="s">
        <v>561</v>
      </c>
      <c r="B10" s="2" t="s">
        <v>565</v>
      </c>
      <c r="C10" t="s">
        <v>53</v>
      </c>
      <c r="D10" t="s">
        <v>58</v>
      </c>
      <c r="E10" t="s">
        <v>68</v>
      </c>
      <c r="F10" t="s">
        <v>606</v>
      </c>
      <c r="G10" t="s">
        <v>618</v>
      </c>
      <c r="H10" t="s">
        <v>80</v>
      </c>
      <c r="J10" t="s">
        <v>665</v>
      </c>
      <c r="K10" t="s">
        <v>375</v>
      </c>
      <c r="L10" t="s">
        <v>703</v>
      </c>
      <c r="M10" t="s">
        <v>720</v>
      </c>
      <c r="N10" t="s">
        <v>730</v>
      </c>
      <c r="O10" t="s">
        <v>308</v>
      </c>
      <c r="P10" t="s">
        <v>744</v>
      </c>
      <c r="Q10" t="s">
        <v>68</v>
      </c>
      <c r="R10" t="s">
        <v>768</v>
      </c>
      <c r="S10" t="s">
        <v>784</v>
      </c>
      <c r="T10" t="s">
        <v>803</v>
      </c>
      <c r="U10" t="s">
        <v>807</v>
      </c>
      <c r="V10" t="s">
        <v>821</v>
      </c>
      <c r="W10" t="s">
        <v>188</v>
      </c>
      <c r="X10" t="s">
        <v>848</v>
      </c>
      <c r="Y10" t="s">
        <v>860</v>
      </c>
      <c r="Z10" t="s">
        <v>864</v>
      </c>
      <c r="AB10" t="s">
        <v>540</v>
      </c>
      <c r="AC10" t="s">
        <v>906</v>
      </c>
      <c r="AD10" t="s">
        <v>305</v>
      </c>
      <c r="AE10" t="s">
        <v>919</v>
      </c>
      <c r="AF10" t="s">
        <v>940</v>
      </c>
      <c r="AG10" t="s">
        <v>946</v>
      </c>
      <c r="AH10" t="s">
        <v>281</v>
      </c>
      <c r="AI10" t="s">
        <v>976</v>
      </c>
      <c r="AJ10" t="s">
        <v>380</v>
      </c>
      <c r="AK10" t="s">
        <v>1006</v>
      </c>
    </row>
    <row r="11" spans="1:37">
      <c r="A11" t="s">
        <v>557</v>
      </c>
      <c r="B11" s="2" t="s">
        <v>564</v>
      </c>
      <c r="C11" t="s">
        <v>574</v>
      </c>
      <c r="D11" t="s">
        <v>63</v>
      </c>
      <c r="E11" t="s">
        <v>590</v>
      </c>
      <c r="F11" t="s">
        <v>607</v>
      </c>
      <c r="G11" t="s">
        <v>627</v>
      </c>
      <c r="H11" t="s">
        <v>79</v>
      </c>
      <c r="J11" t="s">
        <v>668</v>
      </c>
      <c r="K11" t="s">
        <v>376</v>
      </c>
      <c r="L11" t="s">
        <v>704</v>
      </c>
      <c r="M11" t="s">
        <v>713</v>
      </c>
      <c r="O11" t="s">
        <v>307</v>
      </c>
      <c r="P11" t="s">
        <v>734</v>
      </c>
      <c r="Q11" t="s">
        <v>591</v>
      </c>
      <c r="R11" t="s">
        <v>158</v>
      </c>
      <c r="S11" t="s">
        <v>773</v>
      </c>
      <c r="T11" t="s">
        <v>805</v>
      </c>
      <c r="U11" t="s">
        <v>812</v>
      </c>
      <c r="V11" t="s">
        <v>823</v>
      </c>
      <c r="W11" t="s">
        <v>828</v>
      </c>
      <c r="X11" t="s">
        <v>840</v>
      </c>
      <c r="Y11" t="s">
        <v>699</v>
      </c>
      <c r="Z11" t="s">
        <v>873</v>
      </c>
      <c r="AB11" t="s">
        <v>541</v>
      </c>
      <c r="AC11" t="s">
        <v>268</v>
      </c>
      <c r="AD11" t="s">
        <v>304</v>
      </c>
      <c r="AE11" t="s">
        <v>930</v>
      </c>
      <c r="AF11" t="s">
        <v>939</v>
      </c>
      <c r="AG11" t="s">
        <v>945</v>
      </c>
      <c r="AH11" t="s">
        <v>955</v>
      </c>
      <c r="AI11" t="s">
        <v>980</v>
      </c>
      <c r="AJ11" t="s">
        <v>996</v>
      </c>
      <c r="AK11" t="s">
        <v>999</v>
      </c>
    </row>
    <row r="12" spans="1:37">
      <c r="A12" t="s">
        <v>547</v>
      </c>
      <c r="B12" t="s">
        <v>568</v>
      </c>
      <c r="C12" t="s">
        <v>577</v>
      </c>
      <c r="D12" t="s">
        <v>56</v>
      </c>
      <c r="E12" t="s">
        <v>73</v>
      </c>
      <c r="F12" t="s">
        <v>602</v>
      </c>
      <c r="G12" t="s">
        <v>611</v>
      </c>
      <c r="J12" t="s">
        <v>664</v>
      </c>
      <c r="K12" t="s">
        <v>682</v>
      </c>
      <c r="L12" t="s">
        <v>528</v>
      </c>
      <c r="M12" t="s">
        <v>719</v>
      </c>
      <c r="P12" t="s">
        <v>378</v>
      </c>
      <c r="Q12" t="s">
        <v>752</v>
      </c>
      <c r="R12" t="s">
        <v>157</v>
      </c>
      <c r="S12" t="s">
        <v>795</v>
      </c>
      <c r="U12" t="s">
        <v>809</v>
      </c>
      <c r="V12" t="s">
        <v>333</v>
      </c>
      <c r="W12" t="s">
        <v>833</v>
      </c>
      <c r="X12" t="s">
        <v>618</v>
      </c>
      <c r="Y12" t="s">
        <v>707</v>
      </c>
      <c r="Z12" t="s">
        <v>863</v>
      </c>
      <c r="AB12" t="s">
        <v>544</v>
      </c>
      <c r="AC12" t="s">
        <v>269</v>
      </c>
      <c r="AD12" t="s">
        <v>909</v>
      </c>
      <c r="AE12" t="s">
        <v>925</v>
      </c>
      <c r="AF12" t="s">
        <v>935</v>
      </c>
      <c r="AG12" t="s">
        <v>948</v>
      </c>
      <c r="AH12" t="s">
        <v>962</v>
      </c>
      <c r="AI12" t="s">
        <v>87</v>
      </c>
      <c r="AJ12" t="s">
        <v>994</v>
      </c>
      <c r="AK12" t="s">
        <v>787</v>
      </c>
    </row>
    <row r="13" spans="1:37">
      <c r="A13" t="s">
        <v>553</v>
      </c>
      <c r="B13" t="s">
        <v>569</v>
      </c>
      <c r="D13" t="s">
        <v>57</v>
      </c>
      <c r="E13" t="s">
        <v>410</v>
      </c>
      <c r="F13" t="s">
        <v>609</v>
      </c>
      <c r="G13" t="s">
        <v>622</v>
      </c>
      <c r="J13" t="s">
        <v>660</v>
      </c>
      <c r="K13" t="s">
        <v>685</v>
      </c>
      <c r="L13" t="s">
        <v>693</v>
      </c>
      <c r="M13" t="s">
        <v>724</v>
      </c>
      <c r="P13" t="s">
        <v>740</v>
      </c>
      <c r="Q13" t="s">
        <v>748</v>
      </c>
      <c r="R13" t="s">
        <v>761</v>
      </c>
      <c r="S13" t="s">
        <v>783</v>
      </c>
      <c r="U13" t="s">
        <v>806</v>
      </c>
      <c r="V13" t="s">
        <v>332</v>
      </c>
      <c r="W13" t="s">
        <v>836</v>
      </c>
      <c r="X13" t="s">
        <v>627</v>
      </c>
      <c r="Y13" t="s">
        <v>697</v>
      </c>
      <c r="Z13" t="s">
        <v>866</v>
      </c>
      <c r="AB13" t="s">
        <v>884</v>
      </c>
      <c r="AC13" t="s">
        <v>892</v>
      </c>
      <c r="AD13" t="s">
        <v>916</v>
      </c>
      <c r="AE13" t="s">
        <v>926</v>
      </c>
      <c r="AG13" t="s">
        <v>947</v>
      </c>
      <c r="AH13" t="s">
        <v>972</v>
      </c>
      <c r="AI13" t="s">
        <v>72</v>
      </c>
      <c r="AJ13" t="s">
        <v>149</v>
      </c>
      <c r="AK13" t="s">
        <v>524</v>
      </c>
    </row>
    <row r="14" spans="1:37">
      <c r="A14" t="s">
        <v>559</v>
      </c>
      <c r="B14" s="2" t="s">
        <v>562</v>
      </c>
      <c r="D14" t="s">
        <v>61</v>
      </c>
      <c r="E14" t="s">
        <v>591</v>
      </c>
      <c r="G14" t="s">
        <v>613</v>
      </c>
      <c r="J14" t="s">
        <v>652</v>
      </c>
      <c r="K14" t="s">
        <v>689</v>
      </c>
      <c r="L14" t="s">
        <v>701</v>
      </c>
      <c r="M14" t="s">
        <v>722</v>
      </c>
      <c r="P14" t="s">
        <v>147</v>
      </c>
      <c r="Q14" t="s">
        <v>755</v>
      </c>
      <c r="R14" t="s">
        <v>762</v>
      </c>
      <c r="S14" t="s">
        <v>791</v>
      </c>
      <c r="U14" t="s">
        <v>811</v>
      </c>
      <c r="V14" t="s">
        <v>819</v>
      </c>
      <c r="W14" t="s">
        <v>827</v>
      </c>
      <c r="X14" t="s">
        <v>851</v>
      </c>
      <c r="Z14" t="s">
        <v>73</v>
      </c>
      <c r="AC14" t="s">
        <v>270</v>
      </c>
      <c r="AE14" t="s">
        <v>923</v>
      </c>
      <c r="AH14" t="s">
        <v>966</v>
      </c>
      <c r="AI14" t="s">
        <v>68</v>
      </c>
      <c r="AK14" t="s">
        <v>523</v>
      </c>
    </row>
    <row r="15" spans="1:37">
      <c r="A15" t="s">
        <v>555</v>
      </c>
      <c r="B15" s="2" t="s">
        <v>550</v>
      </c>
      <c r="D15" t="s">
        <v>579</v>
      </c>
      <c r="E15" t="s">
        <v>586</v>
      </c>
      <c r="G15" t="s">
        <v>629</v>
      </c>
      <c r="J15" t="s">
        <v>658</v>
      </c>
      <c r="K15" t="s">
        <v>679</v>
      </c>
      <c r="L15" t="s">
        <v>696</v>
      </c>
      <c r="M15" t="s">
        <v>718</v>
      </c>
      <c r="P15" t="s">
        <v>747</v>
      </c>
      <c r="Q15" t="s">
        <v>760</v>
      </c>
      <c r="R15" t="s">
        <v>765</v>
      </c>
      <c r="S15" t="s">
        <v>776</v>
      </c>
      <c r="U15" t="s">
        <v>817</v>
      </c>
      <c r="V15" t="s">
        <v>825</v>
      </c>
      <c r="W15" t="s">
        <v>835</v>
      </c>
      <c r="X15" t="s">
        <v>845</v>
      </c>
      <c r="Z15" t="s">
        <v>410</v>
      </c>
      <c r="AC15" t="s">
        <v>894</v>
      </c>
      <c r="AE15" t="s">
        <v>924</v>
      </c>
      <c r="AH15" t="s">
        <v>956</v>
      </c>
      <c r="AI15" t="s">
        <v>73</v>
      </c>
      <c r="AK15" t="s">
        <v>525</v>
      </c>
    </row>
    <row r="16" spans="1:37">
      <c r="A16" t="s">
        <v>549</v>
      </c>
      <c r="D16" t="s">
        <v>272</v>
      </c>
      <c r="E16" t="s">
        <v>290</v>
      </c>
      <c r="G16" t="s">
        <v>626</v>
      </c>
      <c r="J16" t="s">
        <v>651</v>
      </c>
      <c r="K16" t="s">
        <v>688</v>
      </c>
      <c r="L16" t="s">
        <v>699</v>
      </c>
      <c r="M16" t="s">
        <v>725</v>
      </c>
      <c r="P16" t="s">
        <v>738</v>
      </c>
      <c r="Q16" t="s">
        <v>757</v>
      </c>
      <c r="S16" t="s">
        <v>774</v>
      </c>
      <c r="U16" t="s">
        <v>57</v>
      </c>
      <c r="V16" t="s">
        <v>824</v>
      </c>
      <c r="W16" t="s">
        <v>829</v>
      </c>
      <c r="X16" t="s">
        <v>846</v>
      </c>
      <c r="Z16" t="s">
        <v>861</v>
      </c>
      <c r="AC16" t="s">
        <v>581</v>
      </c>
      <c r="AE16" t="s">
        <v>920</v>
      </c>
      <c r="AH16" t="s">
        <v>969</v>
      </c>
      <c r="AI16" t="s">
        <v>987</v>
      </c>
      <c r="AK16" t="s">
        <v>1002</v>
      </c>
    </row>
    <row r="17" spans="1:37">
      <c r="A17" t="s">
        <v>552</v>
      </c>
      <c r="D17" t="s">
        <v>60</v>
      </c>
      <c r="E17" t="s">
        <v>589</v>
      </c>
      <c r="G17" t="s">
        <v>632</v>
      </c>
      <c r="J17" t="s">
        <v>661</v>
      </c>
      <c r="K17" t="s">
        <v>374</v>
      </c>
      <c r="L17" t="s">
        <v>707</v>
      </c>
      <c r="M17" t="s">
        <v>715</v>
      </c>
      <c r="P17" t="s">
        <v>743</v>
      </c>
      <c r="Q17" t="s">
        <v>663</v>
      </c>
      <c r="S17" t="s">
        <v>782</v>
      </c>
      <c r="U17" t="s">
        <v>61</v>
      </c>
      <c r="V17" t="s">
        <v>514</v>
      </c>
      <c r="W17" t="s">
        <v>837</v>
      </c>
      <c r="X17" t="s">
        <v>192</v>
      </c>
      <c r="Z17" t="s">
        <v>862</v>
      </c>
      <c r="AC17" t="s">
        <v>899</v>
      </c>
      <c r="AE17" t="s">
        <v>932</v>
      </c>
      <c r="AH17" t="s">
        <v>968</v>
      </c>
      <c r="AI17" t="s">
        <v>290</v>
      </c>
      <c r="AK17" t="s">
        <v>1000</v>
      </c>
    </row>
    <row r="18" spans="1:37">
      <c r="A18" t="s">
        <v>550</v>
      </c>
      <c r="E18" t="s">
        <v>599</v>
      </c>
      <c r="G18" t="s">
        <v>616</v>
      </c>
      <c r="J18" t="s">
        <v>657</v>
      </c>
      <c r="K18" t="s">
        <v>372</v>
      </c>
      <c r="L18" t="s">
        <v>697</v>
      </c>
      <c r="M18" t="s">
        <v>714</v>
      </c>
      <c r="P18" t="s">
        <v>742</v>
      </c>
      <c r="Q18" t="s">
        <v>662</v>
      </c>
      <c r="S18" t="s">
        <v>787</v>
      </c>
      <c r="U18" t="s">
        <v>808</v>
      </c>
      <c r="V18" t="s">
        <v>706</v>
      </c>
      <c r="X18" t="s">
        <v>623</v>
      </c>
      <c r="Z18" t="s">
        <v>867</v>
      </c>
      <c r="AC18" t="s">
        <v>901</v>
      </c>
      <c r="AE18" t="s">
        <v>931</v>
      </c>
      <c r="AH18" t="s">
        <v>963</v>
      </c>
      <c r="AI18" t="s">
        <v>589</v>
      </c>
      <c r="AK18" t="s">
        <v>1007</v>
      </c>
    </row>
    <row r="19" spans="1:37">
      <c r="E19" t="s">
        <v>67</v>
      </c>
      <c r="G19" t="s">
        <v>624</v>
      </c>
      <c r="J19" t="s">
        <v>87</v>
      </c>
      <c r="K19" t="s">
        <v>99</v>
      </c>
      <c r="L19" t="s">
        <v>710</v>
      </c>
      <c r="P19" t="s">
        <v>741</v>
      </c>
      <c r="Q19" t="s">
        <v>587</v>
      </c>
      <c r="S19" t="s">
        <v>796</v>
      </c>
      <c r="U19" t="s">
        <v>816</v>
      </c>
      <c r="V19" t="s">
        <v>705</v>
      </c>
      <c r="X19" t="s">
        <v>633</v>
      </c>
      <c r="Z19" t="s">
        <v>65</v>
      </c>
      <c r="AC19" t="s">
        <v>904</v>
      </c>
      <c r="AE19" t="s">
        <v>273</v>
      </c>
      <c r="AH19" t="s">
        <v>964</v>
      </c>
      <c r="AI19" t="s">
        <v>599</v>
      </c>
      <c r="AK19" t="s">
        <v>1010</v>
      </c>
    </row>
    <row r="20" spans="1:37">
      <c r="E20" t="s">
        <v>585</v>
      </c>
      <c r="G20" t="s">
        <v>192</v>
      </c>
      <c r="J20" t="s">
        <v>72</v>
      </c>
      <c r="L20" t="s">
        <v>711</v>
      </c>
      <c r="Q20" t="s">
        <v>584</v>
      </c>
      <c r="S20" t="s">
        <v>793</v>
      </c>
      <c r="X20" t="s">
        <v>614</v>
      </c>
      <c r="Z20" t="s">
        <v>871</v>
      </c>
      <c r="AC20" t="s">
        <v>836</v>
      </c>
      <c r="AE20" t="s">
        <v>918</v>
      </c>
      <c r="AH20" t="s">
        <v>971</v>
      </c>
      <c r="AI20" t="s">
        <v>748</v>
      </c>
    </row>
    <row r="21" spans="1:37">
      <c r="E21" t="s">
        <v>598</v>
      </c>
      <c r="G21" t="s">
        <v>623</v>
      </c>
      <c r="J21" t="s">
        <v>68</v>
      </c>
      <c r="L21" t="s">
        <v>698</v>
      </c>
      <c r="Q21" t="s">
        <v>754</v>
      </c>
      <c r="S21" t="s">
        <v>770</v>
      </c>
      <c r="X21" t="s">
        <v>844</v>
      </c>
      <c r="Z21" t="s">
        <v>870</v>
      </c>
      <c r="AC21" t="s">
        <v>898</v>
      </c>
      <c r="AE21" t="s">
        <v>929</v>
      </c>
      <c r="AH21" t="s">
        <v>965</v>
      </c>
      <c r="AI21" t="s">
        <v>598</v>
      </c>
    </row>
    <row r="22" spans="1:37">
      <c r="E22" t="s">
        <v>592</v>
      </c>
      <c r="G22" t="s">
        <v>633</v>
      </c>
      <c r="J22" t="s">
        <v>290</v>
      </c>
      <c r="L22" t="s">
        <v>706</v>
      </c>
      <c r="Q22" t="s">
        <v>758</v>
      </c>
      <c r="S22" t="s">
        <v>780</v>
      </c>
      <c r="X22" t="s">
        <v>849</v>
      </c>
      <c r="Z22" t="s">
        <v>663</v>
      </c>
      <c r="AC22" t="s">
        <v>64</v>
      </c>
      <c r="AH22" t="s">
        <v>954</v>
      </c>
      <c r="AI22" t="s">
        <v>592</v>
      </c>
    </row>
    <row r="23" spans="1:37">
      <c r="E23" t="s">
        <v>595</v>
      </c>
      <c r="G23" t="s">
        <v>614</v>
      </c>
      <c r="J23" t="s">
        <v>589</v>
      </c>
      <c r="L23" t="s">
        <v>705</v>
      </c>
      <c r="S23" t="s">
        <v>794</v>
      </c>
      <c r="X23" t="s">
        <v>841</v>
      </c>
      <c r="Z23" t="s">
        <v>662</v>
      </c>
      <c r="AC23" t="s">
        <v>897</v>
      </c>
      <c r="AH23" t="s">
        <v>957</v>
      </c>
      <c r="AI23" t="s">
        <v>673</v>
      </c>
    </row>
    <row r="24" spans="1:37">
      <c r="B24" s="2"/>
      <c r="E24" t="s">
        <v>597</v>
      </c>
      <c r="G24" t="s">
        <v>619</v>
      </c>
      <c r="J24" t="s">
        <v>599</v>
      </c>
      <c r="L24" t="s">
        <v>663</v>
      </c>
      <c r="S24" t="s">
        <v>788</v>
      </c>
      <c r="X24" t="s">
        <v>853</v>
      </c>
      <c r="Z24" t="s">
        <v>678</v>
      </c>
      <c r="AC24" t="s">
        <v>56</v>
      </c>
      <c r="AH24" t="s">
        <v>967</v>
      </c>
      <c r="AI24" t="s">
        <v>983</v>
      </c>
    </row>
    <row r="25" spans="1:37">
      <c r="E25" t="s">
        <v>593</v>
      </c>
      <c r="G25" t="s">
        <v>631</v>
      </c>
      <c r="J25" t="s">
        <v>670</v>
      </c>
      <c r="L25" t="s">
        <v>712</v>
      </c>
      <c r="S25" t="s">
        <v>777</v>
      </c>
      <c r="X25" t="s">
        <v>850</v>
      </c>
      <c r="Z25" t="s">
        <v>869</v>
      </c>
      <c r="AC25" t="s">
        <v>888</v>
      </c>
      <c r="AI25" t="s">
        <v>977</v>
      </c>
    </row>
    <row r="26" spans="1:37">
      <c r="E26" t="s">
        <v>588</v>
      </c>
      <c r="G26" t="s">
        <v>628</v>
      </c>
      <c r="J26" t="s">
        <v>677</v>
      </c>
      <c r="S26" t="s">
        <v>786</v>
      </c>
      <c r="Z26" t="s">
        <v>874</v>
      </c>
      <c r="AC26" t="s">
        <v>893</v>
      </c>
      <c r="AI26" t="s">
        <v>986</v>
      </c>
    </row>
    <row r="27" spans="1:37">
      <c r="E27" t="s">
        <v>587</v>
      </c>
      <c r="G27" t="s">
        <v>625</v>
      </c>
      <c r="J27" t="s">
        <v>659</v>
      </c>
      <c r="S27" t="s">
        <v>778</v>
      </c>
      <c r="AC27" t="s">
        <v>889</v>
      </c>
      <c r="AI27" t="s">
        <v>757</v>
      </c>
    </row>
    <row r="28" spans="1:37">
      <c r="E28" t="s">
        <v>584</v>
      </c>
      <c r="G28" t="s">
        <v>634</v>
      </c>
      <c r="J28" t="s">
        <v>656</v>
      </c>
      <c r="S28" t="s">
        <v>99</v>
      </c>
      <c r="AC28" t="s">
        <v>60</v>
      </c>
      <c r="AI28" t="s">
        <v>985</v>
      </c>
    </row>
    <row r="29" spans="1:37">
      <c r="G29" t="s">
        <v>615</v>
      </c>
      <c r="J29" t="s">
        <v>671</v>
      </c>
      <c r="S29" t="s">
        <v>771</v>
      </c>
      <c r="AC29" t="s">
        <v>900</v>
      </c>
      <c r="AI29" t="s">
        <v>973</v>
      </c>
    </row>
    <row r="30" spans="1:37">
      <c r="G30" t="s">
        <v>298</v>
      </c>
      <c r="J30" t="s">
        <v>675</v>
      </c>
      <c r="AI30" t="s">
        <v>979</v>
      </c>
    </row>
    <row r="31" spans="1:37">
      <c r="J31" t="s">
        <v>654</v>
      </c>
      <c r="AI31" t="s">
        <v>982</v>
      </c>
    </row>
    <row r="32" spans="1:37">
      <c r="J32" t="s">
        <v>666</v>
      </c>
      <c r="AI32" t="s">
        <v>975</v>
      </c>
    </row>
    <row r="33" spans="10:35">
      <c r="J33" t="s">
        <v>655</v>
      </c>
      <c r="AI33" t="s">
        <v>984</v>
      </c>
    </row>
    <row r="34" spans="10:35">
      <c r="J34" t="s">
        <v>653</v>
      </c>
    </row>
    <row r="35" spans="10:35">
      <c r="J35" t="s">
        <v>673</v>
      </c>
    </row>
    <row r="36" spans="10:35">
      <c r="J36" t="s">
        <v>65</v>
      </c>
    </row>
    <row r="37" spans="10:35">
      <c r="J37" t="s">
        <v>663</v>
      </c>
    </row>
    <row r="38" spans="10:35">
      <c r="J38" t="s">
        <v>662</v>
      </c>
    </row>
    <row r="39" spans="10:35">
      <c r="J39" t="s">
        <v>678</v>
      </c>
    </row>
    <row r="40" spans="10:35">
      <c r="J40" t="s">
        <v>294</v>
      </c>
    </row>
    <row r="41" spans="10:35">
      <c r="J41" t="s">
        <v>96</v>
      </c>
    </row>
    <row r="42" spans="10:35">
      <c r="J42" t="s">
        <v>88</v>
      </c>
    </row>
    <row r="52" spans="2:2">
      <c r="B52" s="2"/>
    </row>
    <row r="53" spans="2:2">
      <c r="B53" s="2"/>
    </row>
  </sheetData>
  <sortState ref="AK2:AK19">
    <sortCondition ref="AK2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H2" sqref="H2"/>
    </sheetView>
  </sheetViews>
  <sheetFormatPr defaultRowHeight="15"/>
  <cols>
    <col min="1" max="1" width="21.5703125" bestFit="1" customWidth="1"/>
    <col min="2" max="2" width="21.7109375" bestFit="1" customWidth="1"/>
    <col min="3" max="3" width="8" bestFit="1" customWidth="1"/>
    <col min="4" max="4" width="7" bestFit="1" customWidth="1"/>
    <col min="5" max="5" width="6" bestFit="1" customWidth="1"/>
    <col min="6" max="6" width="5.5703125" bestFit="1" customWidth="1"/>
    <col min="10" max="10" width="32.28515625" bestFit="1" customWidth="1"/>
  </cols>
  <sheetData>
    <row r="1" spans="1:8">
      <c r="A1" s="5" t="s">
        <v>35</v>
      </c>
      <c r="B1" s="5" t="s">
        <v>36</v>
      </c>
      <c r="C1" s="5" t="s">
        <v>37</v>
      </c>
      <c r="D1" s="5" t="s">
        <v>38</v>
      </c>
      <c r="E1" s="5" t="s">
        <v>39</v>
      </c>
      <c r="F1" s="9" t="s">
        <v>40</v>
      </c>
    </row>
    <row r="2" spans="1:8">
      <c r="A2" s="2" t="s">
        <v>33</v>
      </c>
      <c r="B2" t="s">
        <v>33</v>
      </c>
      <c r="C2" t="s">
        <v>41</v>
      </c>
      <c r="D2">
        <v>257.2</v>
      </c>
      <c r="E2">
        <v>14.43</v>
      </c>
      <c r="F2" s="10">
        <v>1</v>
      </c>
      <c r="H2">
        <v>-0.85</v>
      </c>
    </row>
    <row r="3" spans="1:8">
      <c r="A3" t="s">
        <v>318</v>
      </c>
      <c r="B3" t="s">
        <v>317</v>
      </c>
      <c r="C3" t="s">
        <v>296</v>
      </c>
      <c r="D3">
        <v>195.9</v>
      </c>
      <c r="E3">
        <v>13.58</v>
      </c>
      <c r="F3" s="10" t="s">
        <v>78</v>
      </c>
    </row>
    <row r="4" spans="1:8">
      <c r="A4" t="s">
        <v>319</v>
      </c>
      <c r="B4" t="s">
        <v>163</v>
      </c>
      <c r="C4" t="s">
        <v>41</v>
      </c>
      <c r="D4">
        <v>380</v>
      </c>
      <c r="E4">
        <v>18.489999999999998</v>
      </c>
      <c r="F4" s="10">
        <v>4</v>
      </c>
      <c r="H4">
        <v>2</v>
      </c>
    </row>
    <row r="5" spans="1:8">
      <c r="A5" t="s">
        <v>319</v>
      </c>
      <c r="B5" t="s">
        <v>320</v>
      </c>
      <c r="C5" t="s">
        <v>296</v>
      </c>
      <c r="D5">
        <v>293.3</v>
      </c>
      <c r="E5">
        <v>20.49</v>
      </c>
      <c r="F5" s="10" t="s">
        <v>78</v>
      </c>
    </row>
    <row r="6" spans="1:8">
      <c r="A6" t="s">
        <v>107</v>
      </c>
      <c r="B6" t="s">
        <v>295</v>
      </c>
      <c r="C6" t="s">
        <v>296</v>
      </c>
      <c r="D6">
        <v>260.5</v>
      </c>
      <c r="E6">
        <v>18</v>
      </c>
      <c r="F6" s="10" t="s">
        <v>78</v>
      </c>
    </row>
    <row r="7" spans="1:8">
      <c r="A7" t="s">
        <v>107</v>
      </c>
      <c r="B7" t="s">
        <v>106</v>
      </c>
      <c r="C7" t="s">
        <v>74</v>
      </c>
      <c r="D7">
        <v>466.2</v>
      </c>
      <c r="E7">
        <v>21.44</v>
      </c>
      <c r="F7" s="10" t="s">
        <v>78</v>
      </c>
      <c r="H7">
        <v>3.44</v>
      </c>
    </row>
    <row r="8" spans="1:8">
      <c r="A8" t="s">
        <v>315</v>
      </c>
      <c r="B8" t="s">
        <v>316</v>
      </c>
      <c r="C8" t="s">
        <v>296</v>
      </c>
      <c r="D8">
        <v>340.8</v>
      </c>
      <c r="E8">
        <v>20.329999999999998</v>
      </c>
      <c r="F8" s="10" t="s">
        <v>78</v>
      </c>
    </row>
    <row r="9" spans="1:8">
      <c r="A9" t="s">
        <v>315</v>
      </c>
      <c r="B9" t="s">
        <v>324</v>
      </c>
      <c r="C9" t="s">
        <v>74</v>
      </c>
      <c r="D9">
        <v>364.5</v>
      </c>
      <c r="E9">
        <v>22.13</v>
      </c>
      <c r="F9" s="10">
        <v>4.4000000000000004</v>
      </c>
      <c r="H9">
        <v>1.8</v>
      </c>
    </row>
    <row r="10" spans="1:8">
      <c r="A10" t="s">
        <v>101</v>
      </c>
      <c r="B10" t="s">
        <v>310</v>
      </c>
      <c r="C10" t="s">
        <v>296</v>
      </c>
      <c r="D10">
        <v>332.9</v>
      </c>
      <c r="E10">
        <v>20.81</v>
      </c>
      <c r="F10" s="10" t="s">
        <v>78</v>
      </c>
    </row>
    <row r="11" spans="1:8">
      <c r="A11" s="2" t="s">
        <v>101</v>
      </c>
      <c r="B11" s="2" t="s">
        <v>417</v>
      </c>
      <c r="C11" s="2" t="s">
        <v>152</v>
      </c>
      <c r="D11" s="2">
        <v>266.89999999999998</v>
      </c>
      <c r="E11" s="2">
        <v>16.55</v>
      </c>
      <c r="F11" s="11">
        <f>38/13</f>
        <v>2.9230769230769229</v>
      </c>
    </row>
    <row r="12" spans="1:8">
      <c r="A12" s="2" t="s">
        <v>101</v>
      </c>
      <c r="B12" t="s">
        <v>97</v>
      </c>
      <c r="C12" t="s">
        <v>41</v>
      </c>
      <c r="D12">
        <v>237.78</v>
      </c>
      <c r="E12">
        <v>16.48</v>
      </c>
      <c r="F12" s="10">
        <f>22/9</f>
        <v>2.4444444444444446</v>
      </c>
    </row>
    <row r="13" spans="1:8">
      <c r="A13" t="s">
        <v>101</v>
      </c>
      <c r="B13" t="s">
        <v>257</v>
      </c>
      <c r="C13" t="s">
        <v>74</v>
      </c>
      <c r="D13">
        <v>461.2</v>
      </c>
      <c r="E13">
        <v>23</v>
      </c>
      <c r="F13" s="10">
        <v>7.75</v>
      </c>
      <c r="H13">
        <v>2.19</v>
      </c>
    </row>
    <row r="14" spans="1:8">
      <c r="A14" t="s">
        <v>58</v>
      </c>
      <c r="B14" t="s">
        <v>295</v>
      </c>
      <c r="C14" t="s">
        <v>296</v>
      </c>
      <c r="D14">
        <v>353.5</v>
      </c>
      <c r="E14">
        <v>23.52</v>
      </c>
      <c r="F14" s="10" t="s">
        <v>78</v>
      </c>
    </row>
    <row r="15" spans="1:8">
      <c r="A15" t="s">
        <v>58</v>
      </c>
      <c r="B15" t="s">
        <v>8</v>
      </c>
      <c r="C15" t="s">
        <v>41</v>
      </c>
      <c r="D15">
        <v>445.5</v>
      </c>
      <c r="E15">
        <v>22.73</v>
      </c>
      <c r="F15" s="10">
        <v>5.3</v>
      </c>
      <c r="H15">
        <v>0.85</v>
      </c>
    </row>
    <row r="16" spans="1:8">
      <c r="A16" t="s">
        <v>158</v>
      </c>
      <c r="B16" t="s">
        <v>295</v>
      </c>
      <c r="C16" t="s">
        <v>296</v>
      </c>
      <c r="D16">
        <v>415</v>
      </c>
      <c r="E16">
        <v>24.15</v>
      </c>
      <c r="F16" s="10" t="s">
        <v>78</v>
      </c>
    </row>
    <row r="17" spans="1:8">
      <c r="A17" s="2" t="s">
        <v>158</v>
      </c>
      <c r="B17" s="2" t="s">
        <v>1025</v>
      </c>
      <c r="C17" s="2" t="s">
        <v>152</v>
      </c>
      <c r="D17" s="2">
        <v>472.8</v>
      </c>
      <c r="E17" s="2">
        <v>21.68</v>
      </c>
      <c r="F17" s="11">
        <f>50/9</f>
        <v>5.5555555555555554</v>
      </c>
    </row>
    <row r="18" spans="1:8">
      <c r="A18" t="s">
        <v>158</v>
      </c>
      <c r="B18" t="s">
        <v>156</v>
      </c>
      <c r="C18" t="s">
        <v>74</v>
      </c>
      <c r="D18">
        <v>561.5</v>
      </c>
      <c r="E18">
        <v>24.37</v>
      </c>
      <c r="F18" s="10">
        <f>95/11</f>
        <v>8.6363636363636367</v>
      </c>
    </row>
    <row r="19" spans="1:8">
      <c r="A19" t="s">
        <v>157</v>
      </c>
      <c r="B19" t="s">
        <v>295</v>
      </c>
      <c r="C19" t="s">
        <v>296</v>
      </c>
      <c r="D19">
        <v>182.5</v>
      </c>
      <c r="E19">
        <v>15</v>
      </c>
      <c r="F19" s="10" t="s">
        <v>78</v>
      </c>
    </row>
    <row r="20" spans="1:8">
      <c r="A20" t="s">
        <v>157</v>
      </c>
      <c r="B20" t="s">
        <v>156</v>
      </c>
      <c r="C20" t="s">
        <v>74</v>
      </c>
      <c r="D20">
        <v>260.89999999999998</v>
      </c>
      <c r="E20">
        <v>15.86</v>
      </c>
      <c r="F20" s="10">
        <f>53/11</f>
        <v>4.8181818181818183</v>
      </c>
      <c r="H20">
        <v>0.86</v>
      </c>
    </row>
    <row r="21" spans="1:8">
      <c r="A21" t="s">
        <v>56</v>
      </c>
      <c r="B21" t="s">
        <v>295</v>
      </c>
      <c r="C21" t="s">
        <v>296</v>
      </c>
      <c r="D21">
        <v>317</v>
      </c>
      <c r="E21">
        <v>21.68</v>
      </c>
      <c r="F21" s="10" t="s">
        <v>78</v>
      </c>
    </row>
    <row r="22" spans="1:8">
      <c r="A22" t="s">
        <v>56</v>
      </c>
      <c r="B22" t="s">
        <v>267</v>
      </c>
      <c r="C22" t="s">
        <v>74</v>
      </c>
      <c r="D22">
        <v>461.5</v>
      </c>
      <c r="E22">
        <v>23.04</v>
      </c>
      <c r="F22" s="10">
        <v>9.1999999999999993</v>
      </c>
      <c r="H22">
        <v>1.36</v>
      </c>
    </row>
    <row r="23" spans="1:8">
      <c r="A23" t="s">
        <v>56</v>
      </c>
      <c r="B23" t="s">
        <v>8</v>
      </c>
      <c r="C23" t="s">
        <v>41</v>
      </c>
      <c r="D23">
        <v>405.9</v>
      </c>
      <c r="E23">
        <v>20.94</v>
      </c>
      <c r="F23" s="10">
        <f>56/11</f>
        <v>5.0909090909090908</v>
      </c>
    </row>
    <row r="24" spans="1:8">
      <c r="A24" t="s">
        <v>71</v>
      </c>
      <c r="B24" t="s">
        <v>322</v>
      </c>
      <c r="C24" t="s">
        <v>296</v>
      </c>
      <c r="D24">
        <v>281.7</v>
      </c>
      <c r="E24">
        <v>17.96</v>
      </c>
      <c r="F24" s="10" t="s">
        <v>78</v>
      </c>
    </row>
    <row r="25" spans="1:8">
      <c r="A25" t="s">
        <v>71</v>
      </c>
      <c r="B25" t="s">
        <v>153</v>
      </c>
      <c r="C25" t="s">
        <v>152</v>
      </c>
      <c r="D25">
        <v>337</v>
      </c>
      <c r="E25">
        <v>17.690000000000001</v>
      </c>
      <c r="F25" s="10">
        <v>3.4</v>
      </c>
    </row>
    <row r="26" spans="1:8">
      <c r="A26" s="2" t="s">
        <v>71</v>
      </c>
      <c r="B26" t="s">
        <v>288</v>
      </c>
      <c r="C26" t="s">
        <v>41</v>
      </c>
      <c r="D26">
        <v>334.6</v>
      </c>
      <c r="E26">
        <v>18.05</v>
      </c>
      <c r="F26" s="10">
        <f>33/12</f>
        <v>2.75</v>
      </c>
    </row>
    <row r="27" spans="1:8">
      <c r="A27" t="s">
        <v>298</v>
      </c>
      <c r="B27" t="s">
        <v>295</v>
      </c>
      <c r="C27" t="s">
        <v>296</v>
      </c>
      <c r="D27">
        <v>358</v>
      </c>
      <c r="E27">
        <v>22.81</v>
      </c>
      <c r="F27" s="10" t="s">
        <v>78</v>
      </c>
    </row>
    <row r="28" spans="1:8">
      <c r="A28" t="s">
        <v>57</v>
      </c>
      <c r="B28" t="s">
        <v>267</v>
      </c>
      <c r="C28" t="s">
        <v>74</v>
      </c>
      <c r="D28">
        <v>569.5</v>
      </c>
      <c r="E28">
        <v>25.17</v>
      </c>
      <c r="F28" s="10">
        <v>10.8</v>
      </c>
      <c r="H28">
        <v>2.36</v>
      </c>
    </row>
    <row r="29" spans="1:8">
      <c r="A29" t="s">
        <v>57</v>
      </c>
      <c r="B29" t="s">
        <v>8</v>
      </c>
      <c r="C29" t="s">
        <v>41</v>
      </c>
      <c r="D29">
        <v>364.5</v>
      </c>
      <c r="E29">
        <v>22.11</v>
      </c>
      <c r="F29" s="10">
        <v>4.8</v>
      </c>
    </row>
  </sheetData>
  <sortState ref="A1:A17">
    <sortCondition ref="A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G7" sqref="G3:G7"/>
    </sheetView>
  </sheetViews>
  <sheetFormatPr defaultRowHeight="15"/>
  <cols>
    <col min="1" max="1" width="16.28515625" bestFit="1" customWidth="1"/>
    <col min="2" max="2" width="9.7109375" bestFit="1" customWidth="1"/>
    <col min="3" max="3" width="5.42578125" bestFit="1" customWidth="1"/>
    <col min="4" max="5" width="6" bestFit="1" customWidth="1"/>
    <col min="6" max="6" width="5.5703125" bestFit="1" customWidth="1"/>
  </cols>
  <sheetData>
    <row r="1" spans="1:7">
      <c r="A1" s="5" t="s">
        <v>35</v>
      </c>
      <c r="B1" s="5" t="s">
        <v>36</v>
      </c>
      <c r="C1" s="5" t="s">
        <v>37</v>
      </c>
      <c r="D1" s="5" t="s">
        <v>38</v>
      </c>
      <c r="E1" s="5" t="s">
        <v>39</v>
      </c>
      <c r="F1" s="9" t="s">
        <v>40</v>
      </c>
    </row>
    <row r="2" spans="1:7">
      <c r="A2" t="s">
        <v>248</v>
      </c>
      <c r="B2" t="s">
        <v>1053</v>
      </c>
      <c r="C2" t="s">
        <v>412</v>
      </c>
      <c r="D2">
        <v>317.10000000000002</v>
      </c>
      <c r="E2">
        <v>15.23</v>
      </c>
      <c r="F2" s="10" t="s">
        <v>78</v>
      </c>
    </row>
    <row r="3" spans="1:7">
      <c r="A3" t="s">
        <v>248</v>
      </c>
      <c r="B3" t="s">
        <v>49</v>
      </c>
      <c r="C3" t="s">
        <v>152</v>
      </c>
      <c r="D3">
        <v>374</v>
      </c>
      <c r="E3">
        <v>20.48</v>
      </c>
      <c r="F3" s="10">
        <v>2.4</v>
      </c>
      <c r="G3">
        <v>5.25</v>
      </c>
    </row>
    <row r="4" spans="1:7">
      <c r="A4" t="s">
        <v>84</v>
      </c>
      <c r="B4" t="s">
        <v>1053</v>
      </c>
      <c r="C4" t="s">
        <v>412</v>
      </c>
      <c r="D4">
        <v>363</v>
      </c>
      <c r="E4">
        <v>17.71</v>
      </c>
      <c r="F4" s="10" t="s">
        <v>78</v>
      </c>
    </row>
    <row r="5" spans="1:7">
      <c r="A5" s="2" t="s">
        <v>84</v>
      </c>
      <c r="B5" s="2" t="s">
        <v>1029</v>
      </c>
      <c r="C5" s="2" t="s">
        <v>152</v>
      </c>
      <c r="D5" s="2">
        <v>286</v>
      </c>
      <c r="E5" s="2">
        <v>18.989999999999998</v>
      </c>
      <c r="F5" s="11">
        <v>2.9</v>
      </c>
      <c r="G5" s="2">
        <v>1.28</v>
      </c>
    </row>
    <row r="6" spans="1:7">
      <c r="A6" t="s">
        <v>414</v>
      </c>
      <c r="B6" t="s">
        <v>413</v>
      </c>
      <c r="C6" t="s">
        <v>412</v>
      </c>
      <c r="D6">
        <v>315.5</v>
      </c>
      <c r="E6">
        <v>13.14</v>
      </c>
      <c r="F6" s="10" t="s">
        <v>78</v>
      </c>
    </row>
    <row r="7" spans="1:7">
      <c r="A7" s="2" t="s">
        <v>414</v>
      </c>
      <c r="B7" s="2" t="s">
        <v>1021</v>
      </c>
      <c r="C7" s="2" t="s">
        <v>74</v>
      </c>
      <c r="D7" s="2">
        <v>403.8</v>
      </c>
      <c r="E7" s="2">
        <f>(2750/4230)*30</f>
        <v>19.50354609929078</v>
      </c>
      <c r="F7" s="11">
        <f>64/13</f>
        <v>4.9230769230769234</v>
      </c>
      <c r="G7">
        <v>6.36</v>
      </c>
    </row>
    <row r="8" spans="1:7">
      <c r="A8" t="s">
        <v>415</v>
      </c>
      <c r="B8" t="s">
        <v>413</v>
      </c>
      <c r="C8" t="s">
        <v>412</v>
      </c>
      <c r="D8">
        <v>241.4</v>
      </c>
      <c r="E8">
        <v>11.94</v>
      </c>
      <c r="F8" s="10" t="s">
        <v>78</v>
      </c>
    </row>
    <row r="9" spans="1:7">
      <c r="A9" s="2" t="s">
        <v>415</v>
      </c>
      <c r="B9" s="2" t="s">
        <v>1021</v>
      </c>
      <c r="C9" s="2" t="s">
        <v>74</v>
      </c>
      <c r="D9" s="2">
        <v>325.60000000000002</v>
      </c>
      <c r="E9" s="2">
        <f>(1520/2730)*30</f>
        <v>16.703296703296704</v>
      </c>
      <c r="F9" s="11">
        <f>23/9</f>
        <v>2.5555555555555554</v>
      </c>
      <c r="G9">
        <v>4.0599999999999996</v>
      </c>
    </row>
  </sheetData>
  <sortState ref="A2:F9">
    <sortCondition ref="A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0"/>
  <sheetViews>
    <sheetView topLeftCell="A7" workbookViewId="0">
      <selection activeCell="G25" sqref="G1:G1048576"/>
    </sheetView>
  </sheetViews>
  <sheetFormatPr defaultRowHeight="15"/>
  <cols>
    <col min="1" max="1" width="23.85546875" bestFit="1" customWidth="1"/>
    <col min="2" max="2" width="21.7109375" bestFit="1" customWidth="1"/>
    <col min="3" max="3" width="5.5703125" bestFit="1" customWidth="1"/>
    <col min="4" max="5" width="6" bestFit="1" customWidth="1"/>
    <col min="6" max="6" width="4.5703125" bestFit="1" customWidth="1"/>
  </cols>
  <sheetData>
    <row r="1" spans="1:7">
      <c r="A1" s="5" t="s">
        <v>82</v>
      </c>
    </row>
    <row r="2" spans="1:7">
      <c r="A2" t="s">
        <v>178</v>
      </c>
      <c r="B2" t="s">
        <v>167</v>
      </c>
      <c r="C2" t="s">
        <v>82</v>
      </c>
      <c r="D2">
        <v>499.1</v>
      </c>
      <c r="E2">
        <v>24.28</v>
      </c>
      <c r="F2" s="10">
        <v>8</v>
      </c>
    </row>
    <row r="3" spans="1:7">
      <c r="A3" t="s">
        <v>334</v>
      </c>
      <c r="B3" t="s">
        <v>324</v>
      </c>
      <c r="C3" t="s">
        <v>74</v>
      </c>
      <c r="D3">
        <v>479.5</v>
      </c>
      <c r="E3">
        <v>24.11</v>
      </c>
      <c r="F3" s="10">
        <v>10.199999999999999</v>
      </c>
      <c r="G3">
        <v>-0.17</v>
      </c>
    </row>
    <row r="4" spans="1:7">
      <c r="A4" t="s">
        <v>66</v>
      </c>
      <c r="B4" t="s">
        <v>153</v>
      </c>
      <c r="C4" t="s">
        <v>152</v>
      </c>
      <c r="D4">
        <v>295.5</v>
      </c>
      <c r="E4">
        <v>16.91</v>
      </c>
      <c r="F4" s="10">
        <v>2.7</v>
      </c>
      <c r="G4">
        <v>0.94</v>
      </c>
    </row>
    <row r="5" spans="1:7">
      <c r="A5" t="s">
        <v>66</v>
      </c>
      <c r="B5" t="s">
        <v>86</v>
      </c>
      <c r="C5" t="s">
        <v>82</v>
      </c>
      <c r="D5">
        <v>305</v>
      </c>
      <c r="E5">
        <v>15.97</v>
      </c>
      <c r="F5" s="10">
        <f>15/6</f>
        <v>2.5</v>
      </c>
    </row>
    <row r="6" spans="1:7">
      <c r="A6" t="s">
        <v>183</v>
      </c>
      <c r="B6" t="s">
        <v>324</v>
      </c>
      <c r="C6" t="s">
        <v>74</v>
      </c>
      <c r="D6">
        <v>392</v>
      </c>
      <c r="E6">
        <v>22.97</v>
      </c>
      <c r="F6" s="10">
        <v>7.4</v>
      </c>
      <c r="G6">
        <v>1.34</v>
      </c>
    </row>
    <row r="7" spans="1:7">
      <c r="A7" t="s">
        <v>183</v>
      </c>
      <c r="B7" t="s">
        <v>167</v>
      </c>
      <c r="C7" t="s">
        <v>82</v>
      </c>
      <c r="D7">
        <v>276</v>
      </c>
      <c r="E7">
        <v>21.63</v>
      </c>
      <c r="F7" s="10">
        <v>3.5</v>
      </c>
    </row>
    <row r="8" spans="1:7">
      <c r="A8" t="s">
        <v>184</v>
      </c>
      <c r="B8" t="s">
        <v>324</v>
      </c>
      <c r="C8" t="s">
        <v>74</v>
      </c>
      <c r="D8">
        <v>399.5</v>
      </c>
      <c r="E8">
        <v>20.98</v>
      </c>
      <c r="F8" s="10">
        <v>6.7</v>
      </c>
      <c r="G8">
        <v>5.4</v>
      </c>
    </row>
    <row r="9" spans="1:7">
      <c r="A9" t="s">
        <v>184</v>
      </c>
      <c r="B9" t="s">
        <v>167</v>
      </c>
      <c r="C9" t="s">
        <v>82</v>
      </c>
      <c r="D9">
        <v>266</v>
      </c>
      <c r="E9">
        <v>15.58</v>
      </c>
      <c r="F9" s="10">
        <v>3.1</v>
      </c>
    </row>
    <row r="10" spans="1:7">
      <c r="A10" t="s">
        <v>84</v>
      </c>
      <c r="B10" t="s">
        <v>82</v>
      </c>
      <c r="C10" t="s">
        <v>82</v>
      </c>
      <c r="D10">
        <v>296.7</v>
      </c>
      <c r="E10">
        <v>18.59</v>
      </c>
      <c r="F10" s="10">
        <f>17/9</f>
        <v>1.8888888888888888</v>
      </c>
      <c r="G10">
        <v>-0.4</v>
      </c>
    </row>
    <row r="11" spans="1:7">
      <c r="A11" s="2" t="s">
        <v>84</v>
      </c>
      <c r="B11" s="2" t="s">
        <v>1029</v>
      </c>
      <c r="C11" s="2" t="s">
        <v>152</v>
      </c>
      <c r="D11" s="2">
        <v>286</v>
      </c>
      <c r="E11" s="2">
        <v>18.989999999999998</v>
      </c>
      <c r="F11" s="11">
        <v>2.9</v>
      </c>
    </row>
    <row r="12" spans="1:7">
      <c r="A12" t="s">
        <v>181</v>
      </c>
      <c r="B12" t="s">
        <v>267</v>
      </c>
      <c r="C12" t="s">
        <v>74</v>
      </c>
      <c r="D12">
        <v>545</v>
      </c>
      <c r="E12">
        <v>24.41</v>
      </c>
      <c r="F12" s="10">
        <v>10.1</v>
      </c>
      <c r="G12">
        <v>1.82</v>
      </c>
    </row>
    <row r="13" spans="1:7">
      <c r="A13" t="s">
        <v>181</v>
      </c>
      <c r="B13" t="s">
        <v>167</v>
      </c>
      <c r="C13" t="s">
        <v>82</v>
      </c>
      <c r="D13">
        <v>444.5</v>
      </c>
      <c r="E13">
        <v>22.59</v>
      </c>
      <c r="F13" s="10">
        <f>63/11</f>
        <v>5.7272727272727275</v>
      </c>
    </row>
    <row r="14" spans="1:7">
      <c r="A14" t="s">
        <v>180</v>
      </c>
      <c r="B14" t="s">
        <v>267</v>
      </c>
      <c r="C14" t="s">
        <v>74</v>
      </c>
      <c r="D14">
        <v>445</v>
      </c>
      <c r="E14">
        <v>22.5</v>
      </c>
      <c r="F14" s="10">
        <v>6.9</v>
      </c>
      <c r="G14">
        <v>3.15</v>
      </c>
    </row>
    <row r="15" spans="1:7">
      <c r="A15" t="s">
        <v>180</v>
      </c>
      <c r="B15" t="s">
        <v>167</v>
      </c>
      <c r="C15" t="s">
        <v>82</v>
      </c>
      <c r="D15">
        <v>324</v>
      </c>
      <c r="E15">
        <v>19.350000000000001</v>
      </c>
      <c r="F15" s="10">
        <v>3.1</v>
      </c>
    </row>
    <row r="16" spans="1:7">
      <c r="A16" t="s">
        <v>87</v>
      </c>
      <c r="B16" t="s">
        <v>86</v>
      </c>
      <c r="C16" t="s">
        <v>82</v>
      </c>
      <c r="D16">
        <v>562</v>
      </c>
      <c r="E16">
        <v>25.13</v>
      </c>
      <c r="F16" s="10">
        <v>8.4</v>
      </c>
    </row>
    <row r="17" spans="1:7">
      <c r="A17" t="s">
        <v>87</v>
      </c>
      <c r="B17" t="s">
        <v>288</v>
      </c>
      <c r="C17" t="s">
        <v>41</v>
      </c>
      <c r="D17">
        <v>475.4</v>
      </c>
      <c r="E17">
        <v>22.18</v>
      </c>
      <c r="F17" s="10">
        <v>6</v>
      </c>
      <c r="G17">
        <v>-2.95</v>
      </c>
    </row>
    <row r="18" spans="1:7">
      <c r="A18" t="s">
        <v>72</v>
      </c>
      <c r="B18" t="s">
        <v>86</v>
      </c>
      <c r="C18" t="s">
        <v>82</v>
      </c>
      <c r="D18">
        <v>344</v>
      </c>
      <c r="E18">
        <v>19.66</v>
      </c>
      <c r="F18" s="10">
        <f>16/6</f>
        <v>2.6666666666666665</v>
      </c>
    </row>
    <row r="19" spans="1:7">
      <c r="A19" t="s">
        <v>72</v>
      </c>
      <c r="B19" t="s">
        <v>288</v>
      </c>
      <c r="C19" t="s">
        <v>41</v>
      </c>
      <c r="D19">
        <v>315.5</v>
      </c>
      <c r="E19">
        <v>18.510000000000002</v>
      </c>
      <c r="F19" s="10">
        <f>29/12</f>
        <v>2.4166666666666665</v>
      </c>
      <c r="G19">
        <v>-1.1499999999999999</v>
      </c>
    </row>
    <row r="20" spans="1:7">
      <c r="A20" t="s">
        <v>179</v>
      </c>
      <c r="B20" t="s">
        <v>167</v>
      </c>
      <c r="C20" t="s">
        <v>82</v>
      </c>
      <c r="D20">
        <v>432</v>
      </c>
      <c r="E20">
        <v>23.12</v>
      </c>
      <c r="F20" s="10">
        <v>6.4</v>
      </c>
    </row>
    <row r="21" spans="1:7">
      <c r="A21" t="s">
        <v>333</v>
      </c>
      <c r="B21" t="s">
        <v>324</v>
      </c>
      <c r="C21" t="s">
        <v>74</v>
      </c>
      <c r="D21">
        <v>410.5</v>
      </c>
      <c r="E21">
        <v>22.95</v>
      </c>
      <c r="F21" s="10">
        <v>8</v>
      </c>
      <c r="G21">
        <v>-0.17</v>
      </c>
    </row>
    <row r="22" spans="1:7">
      <c r="A22" t="s">
        <v>185</v>
      </c>
      <c r="B22" t="s">
        <v>324</v>
      </c>
      <c r="C22" t="s">
        <v>74</v>
      </c>
      <c r="D22">
        <v>354.5</v>
      </c>
      <c r="E22">
        <v>21.59</v>
      </c>
      <c r="F22" s="10">
        <v>4.7</v>
      </c>
      <c r="G22">
        <v>4.33</v>
      </c>
    </row>
    <row r="23" spans="1:7">
      <c r="A23" t="s">
        <v>185</v>
      </c>
      <c r="B23" t="s">
        <v>167</v>
      </c>
      <c r="C23" t="s">
        <v>82</v>
      </c>
      <c r="D23">
        <v>325.5</v>
      </c>
      <c r="E23">
        <v>17.260000000000002</v>
      </c>
      <c r="F23" s="10">
        <v>3.4</v>
      </c>
    </row>
    <row r="24" spans="1:7">
      <c r="A24" t="s">
        <v>95</v>
      </c>
      <c r="B24" t="s">
        <v>86</v>
      </c>
      <c r="C24" t="s">
        <v>82</v>
      </c>
      <c r="D24">
        <v>230.8</v>
      </c>
      <c r="E24">
        <v>13.33</v>
      </c>
      <c r="F24" s="10">
        <v>1</v>
      </c>
    </row>
    <row r="25" spans="1:7">
      <c r="A25" s="2" t="s">
        <v>95</v>
      </c>
      <c r="B25" t="s">
        <v>288</v>
      </c>
      <c r="C25" t="s">
        <v>41</v>
      </c>
      <c r="D25">
        <v>284</v>
      </c>
      <c r="E25">
        <v>18.18</v>
      </c>
      <c r="F25" s="10">
        <f>1.8</f>
        <v>1.8</v>
      </c>
      <c r="G25">
        <v>4.8499999999999996</v>
      </c>
    </row>
    <row r="26" spans="1:7">
      <c r="A26" t="s">
        <v>91</v>
      </c>
      <c r="B26" t="s">
        <v>153</v>
      </c>
      <c r="C26" t="s">
        <v>152</v>
      </c>
      <c r="D26">
        <v>367</v>
      </c>
      <c r="E26">
        <v>18.190000000000001</v>
      </c>
      <c r="F26" s="10">
        <v>3.3</v>
      </c>
    </row>
    <row r="27" spans="1:7">
      <c r="A27" t="s">
        <v>91</v>
      </c>
      <c r="B27" t="s">
        <v>86</v>
      </c>
      <c r="C27" t="s">
        <v>82</v>
      </c>
      <c r="D27">
        <v>382.5</v>
      </c>
      <c r="E27">
        <v>18.97</v>
      </c>
      <c r="F27" s="10">
        <f>14/6</f>
        <v>2.3333333333333335</v>
      </c>
    </row>
    <row r="28" spans="1:7">
      <c r="A28" t="s">
        <v>91</v>
      </c>
      <c r="B28" t="s">
        <v>288</v>
      </c>
      <c r="C28" t="s">
        <v>41</v>
      </c>
      <c r="D28">
        <v>318.3</v>
      </c>
      <c r="E28">
        <v>20.16</v>
      </c>
      <c r="F28" s="10">
        <f>17/12</f>
        <v>1.4166666666666667</v>
      </c>
      <c r="G28">
        <v>1.19</v>
      </c>
    </row>
    <row r="29" spans="1:7">
      <c r="A29" t="s">
        <v>85</v>
      </c>
      <c r="B29" t="s">
        <v>82</v>
      </c>
      <c r="C29" t="s">
        <v>82</v>
      </c>
      <c r="D29">
        <v>304.3</v>
      </c>
      <c r="E29">
        <v>17.309999999999999</v>
      </c>
      <c r="F29" s="10">
        <f>8/7</f>
        <v>1.1428571428571428</v>
      </c>
    </row>
    <row r="30" spans="1:7">
      <c r="A30" t="s">
        <v>85</v>
      </c>
      <c r="B30" t="s">
        <v>84</v>
      </c>
      <c r="C30" t="s">
        <v>74</v>
      </c>
      <c r="D30">
        <v>340.6</v>
      </c>
      <c r="E30">
        <v>18.559999999999999</v>
      </c>
      <c r="F30" s="10">
        <v>5</v>
      </c>
      <c r="G30">
        <v>1.25</v>
      </c>
    </row>
    <row r="31" spans="1:7">
      <c r="A31" t="s">
        <v>262</v>
      </c>
      <c r="B31" t="s">
        <v>263</v>
      </c>
      <c r="C31" t="s">
        <v>82</v>
      </c>
      <c r="D31">
        <v>324.39999999999998</v>
      </c>
      <c r="E31">
        <v>17.98</v>
      </c>
      <c r="F31" s="10">
        <f>24/9</f>
        <v>2.6666666666666665</v>
      </c>
    </row>
    <row r="32" spans="1:7">
      <c r="A32" s="2" t="s">
        <v>262</v>
      </c>
      <c r="B32" s="2" t="s">
        <v>1029</v>
      </c>
      <c r="C32" s="2" t="s">
        <v>152</v>
      </c>
      <c r="D32" s="2">
        <v>312.2</v>
      </c>
      <c r="E32" s="2">
        <v>17.43</v>
      </c>
      <c r="F32" s="11">
        <v>1.9</v>
      </c>
      <c r="G32" s="2">
        <v>-0.55000000000000004</v>
      </c>
    </row>
    <row r="33" spans="1:7">
      <c r="A33" t="s">
        <v>71</v>
      </c>
      <c r="B33" t="s">
        <v>86</v>
      </c>
      <c r="C33" t="s">
        <v>82</v>
      </c>
      <c r="D33">
        <v>360.8</v>
      </c>
      <c r="E33">
        <v>16.84</v>
      </c>
      <c r="F33" s="10">
        <v>3</v>
      </c>
    </row>
    <row r="34" spans="1:7">
      <c r="A34" s="2" t="s">
        <v>71</v>
      </c>
      <c r="B34" t="s">
        <v>288</v>
      </c>
      <c r="C34" t="s">
        <v>41</v>
      </c>
      <c r="D34">
        <v>334.6</v>
      </c>
      <c r="E34">
        <v>18.05</v>
      </c>
      <c r="F34" s="10">
        <f>33/12</f>
        <v>2.75</v>
      </c>
      <c r="G34">
        <v>1.21</v>
      </c>
    </row>
    <row r="35" spans="1:7">
      <c r="A35" t="s">
        <v>265</v>
      </c>
      <c r="B35" t="s">
        <v>263</v>
      </c>
      <c r="C35" t="s">
        <v>82</v>
      </c>
      <c r="D35">
        <v>297.8</v>
      </c>
      <c r="E35">
        <v>16.32</v>
      </c>
      <c r="F35" s="10">
        <f>16/9</f>
        <v>1.7777777777777777</v>
      </c>
    </row>
    <row r="36" spans="1:7">
      <c r="A36" s="2" t="s">
        <v>265</v>
      </c>
      <c r="B36" s="2" t="s">
        <v>1029</v>
      </c>
      <c r="C36" s="2" t="s">
        <v>152</v>
      </c>
      <c r="D36" s="2">
        <v>363</v>
      </c>
      <c r="E36" s="2">
        <v>18.66</v>
      </c>
      <c r="F36" s="11">
        <v>3.7</v>
      </c>
      <c r="G36" s="2">
        <v>2.34</v>
      </c>
    </row>
    <row r="37" spans="1:7">
      <c r="A37" t="s">
        <v>264</v>
      </c>
      <c r="B37" t="s">
        <v>263</v>
      </c>
      <c r="C37" t="s">
        <v>82</v>
      </c>
      <c r="D37">
        <v>214.5</v>
      </c>
      <c r="E37">
        <v>13.62</v>
      </c>
      <c r="F37" s="10">
        <f>23/11</f>
        <v>2.0909090909090908</v>
      </c>
    </row>
    <row r="38" spans="1:7">
      <c r="A38" s="2" t="s">
        <v>264</v>
      </c>
      <c r="B38" s="2" t="s">
        <v>1029</v>
      </c>
      <c r="C38" s="2" t="s">
        <v>152</v>
      </c>
      <c r="D38" s="2">
        <v>301</v>
      </c>
      <c r="E38" s="2">
        <v>18.04</v>
      </c>
      <c r="F38" s="11">
        <v>1.5</v>
      </c>
      <c r="G38" s="2">
        <v>4.42</v>
      </c>
    </row>
    <row r="39" spans="1:7">
      <c r="A39" t="s">
        <v>150</v>
      </c>
      <c r="B39" t="s">
        <v>438</v>
      </c>
      <c r="C39" t="s">
        <v>82</v>
      </c>
      <c r="D39">
        <v>422.5</v>
      </c>
      <c r="E39">
        <v>19.13</v>
      </c>
      <c r="F39" s="10">
        <v>2.9</v>
      </c>
    </row>
    <row r="40" spans="1:7">
      <c r="A40" s="2" t="s">
        <v>150</v>
      </c>
      <c r="B40" s="2" t="s">
        <v>1021</v>
      </c>
      <c r="C40" s="2" t="s">
        <v>74</v>
      </c>
      <c r="D40" s="2">
        <v>505.7</v>
      </c>
      <c r="E40" s="2">
        <f>(3950/5680)*30</f>
        <v>20.862676056338028</v>
      </c>
      <c r="F40" s="11">
        <f>79/14</f>
        <v>5.6428571428571432</v>
      </c>
      <c r="G40">
        <v>1.75</v>
      </c>
    </row>
    <row r="41" spans="1:7">
      <c r="A41" t="s">
        <v>403</v>
      </c>
      <c r="B41" t="s">
        <v>404</v>
      </c>
      <c r="C41" t="s">
        <v>82</v>
      </c>
      <c r="D41">
        <v>214.5</v>
      </c>
      <c r="E41">
        <v>14.94</v>
      </c>
      <c r="F41" s="10">
        <v>1.6</v>
      </c>
    </row>
    <row r="42" spans="1:7">
      <c r="A42" t="s">
        <v>403</v>
      </c>
      <c r="B42" t="s">
        <v>402</v>
      </c>
      <c r="C42" t="s">
        <v>74</v>
      </c>
      <c r="D42">
        <v>210.5</v>
      </c>
      <c r="E42">
        <v>15.12</v>
      </c>
      <c r="F42" s="10">
        <v>2.8</v>
      </c>
      <c r="G42">
        <v>0.18</v>
      </c>
    </row>
    <row r="43" spans="1:7">
      <c r="A43" t="s">
        <v>351</v>
      </c>
      <c r="B43" t="s">
        <v>404</v>
      </c>
      <c r="C43" t="s">
        <v>82</v>
      </c>
      <c r="D43">
        <v>623.5</v>
      </c>
      <c r="E43">
        <v>24.55</v>
      </c>
      <c r="F43" s="10">
        <v>11.3</v>
      </c>
    </row>
    <row r="44" spans="1:7">
      <c r="A44" t="s">
        <v>351</v>
      </c>
      <c r="B44" t="s">
        <v>402</v>
      </c>
      <c r="C44" t="s">
        <v>74</v>
      </c>
      <c r="D44">
        <v>630</v>
      </c>
      <c r="E44">
        <v>25.25</v>
      </c>
      <c r="F44" s="10">
        <v>12.4</v>
      </c>
      <c r="G44">
        <v>0.7</v>
      </c>
    </row>
    <row r="45" spans="1:7">
      <c r="A45" t="s">
        <v>352</v>
      </c>
      <c r="B45" t="s">
        <v>404</v>
      </c>
      <c r="C45" t="s">
        <v>82</v>
      </c>
      <c r="D45">
        <v>217.5</v>
      </c>
      <c r="E45">
        <v>14.3</v>
      </c>
      <c r="F45" s="10">
        <v>2.8</v>
      </c>
    </row>
    <row r="46" spans="1:7">
      <c r="A46" t="s">
        <v>352</v>
      </c>
      <c r="B46" t="s">
        <v>402</v>
      </c>
      <c r="C46" t="s">
        <v>74</v>
      </c>
      <c r="D46">
        <v>335.6</v>
      </c>
      <c r="E46">
        <v>17.309999999999999</v>
      </c>
      <c r="F46" s="10">
        <f>32/9</f>
        <v>3.5555555555555554</v>
      </c>
      <c r="G46">
        <v>3.01</v>
      </c>
    </row>
    <row r="47" spans="1:7">
      <c r="A47" t="s">
        <v>404</v>
      </c>
      <c r="B47" t="s">
        <v>404</v>
      </c>
      <c r="C47" t="s">
        <v>82</v>
      </c>
      <c r="D47">
        <v>259</v>
      </c>
      <c r="E47">
        <v>15.34</v>
      </c>
      <c r="F47" s="10">
        <v>1.5</v>
      </c>
    </row>
    <row r="48" spans="1:7">
      <c r="A48" t="s">
        <v>404</v>
      </c>
      <c r="B48" t="s">
        <v>402</v>
      </c>
      <c r="C48" t="s">
        <v>74</v>
      </c>
      <c r="D48">
        <v>310.60000000000002</v>
      </c>
      <c r="E48">
        <v>16.5</v>
      </c>
      <c r="F48" s="10">
        <f>30/9</f>
        <v>3.3333333333333335</v>
      </c>
      <c r="G48">
        <v>1.1599999999999999</v>
      </c>
    </row>
    <row r="49" spans="1:7">
      <c r="A49" t="s">
        <v>367</v>
      </c>
      <c r="B49" t="s">
        <v>438</v>
      </c>
      <c r="C49" t="s">
        <v>82</v>
      </c>
      <c r="D49">
        <v>305</v>
      </c>
      <c r="E49">
        <v>15.63</v>
      </c>
      <c r="F49" s="10">
        <v>2.1</v>
      </c>
    </row>
    <row r="50" spans="1:7">
      <c r="A50" t="s">
        <v>367</v>
      </c>
      <c r="B50" t="s">
        <v>368</v>
      </c>
      <c r="C50" t="s">
        <v>152</v>
      </c>
      <c r="D50">
        <v>313.8</v>
      </c>
      <c r="E50">
        <v>15.4</v>
      </c>
      <c r="F50" s="10">
        <f>14/12</f>
        <v>1.1666666666666667</v>
      </c>
      <c r="G50">
        <v>-0.23</v>
      </c>
    </row>
  </sheetData>
  <sortState ref="A39:F51">
    <sortCondition ref="A3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1"/>
  <sheetViews>
    <sheetView topLeftCell="A43" workbookViewId="0">
      <selection activeCell="G43" sqref="G1:G1048576"/>
    </sheetView>
  </sheetViews>
  <sheetFormatPr defaultRowHeight="15"/>
  <cols>
    <col min="1" max="1" width="32.7109375" bestFit="1" customWidth="1"/>
    <col min="2" max="2" width="19.42578125" bestFit="1" customWidth="1"/>
    <col min="3" max="3" width="5.85546875" bestFit="1" customWidth="1"/>
    <col min="4" max="4" width="12" bestFit="1" customWidth="1"/>
    <col min="5" max="5" width="5.5703125" style="13" bestFit="1" customWidth="1"/>
    <col min="6" max="6" width="5.5703125" bestFit="1" customWidth="1"/>
  </cols>
  <sheetData>
    <row r="1" spans="1:7">
      <c r="A1" s="5" t="s">
        <v>35</v>
      </c>
      <c r="B1" s="5" t="s">
        <v>36</v>
      </c>
      <c r="C1" s="5" t="s">
        <v>37</v>
      </c>
      <c r="D1" s="5" t="s">
        <v>38</v>
      </c>
      <c r="E1" s="12" t="s">
        <v>39</v>
      </c>
      <c r="F1" s="9" t="s">
        <v>40</v>
      </c>
    </row>
    <row r="2" spans="1:7">
      <c r="A2" s="2" t="s">
        <v>123</v>
      </c>
      <c r="B2" t="s">
        <v>120</v>
      </c>
      <c r="C2" t="s">
        <v>41</v>
      </c>
      <c r="D2">
        <v>303.60000000000002</v>
      </c>
      <c r="E2">
        <v>18.07</v>
      </c>
      <c r="F2" s="10">
        <f>21/8</f>
        <v>2.625</v>
      </c>
    </row>
    <row r="3" spans="1:7">
      <c r="A3" s="2" t="s">
        <v>532</v>
      </c>
      <c r="B3" s="2" t="s">
        <v>530</v>
      </c>
      <c r="C3" s="2" t="s">
        <v>176</v>
      </c>
      <c r="D3" s="2">
        <v>431.1</v>
      </c>
      <c r="E3" s="14">
        <v>20.89</v>
      </c>
      <c r="F3" s="11">
        <v>3.8888888888888888</v>
      </c>
      <c r="G3" s="2">
        <v>-2.79</v>
      </c>
    </row>
    <row r="4" spans="1:7">
      <c r="A4" s="2" t="s">
        <v>278</v>
      </c>
      <c r="B4" s="2" t="s">
        <v>356</v>
      </c>
      <c r="C4" s="2" t="s">
        <v>47</v>
      </c>
      <c r="D4" s="2">
        <v>321.89999999999998</v>
      </c>
      <c r="E4" s="14">
        <v>20.68</v>
      </c>
      <c r="F4" s="11">
        <v>3.75</v>
      </c>
      <c r="G4" s="2">
        <v>-0.98</v>
      </c>
    </row>
    <row r="5" spans="1:7">
      <c r="A5" s="2" t="s">
        <v>278</v>
      </c>
      <c r="B5" s="2" t="s">
        <v>211</v>
      </c>
      <c r="C5" s="2" t="s">
        <v>74</v>
      </c>
      <c r="D5" s="2">
        <v>285.60000000000002</v>
      </c>
      <c r="E5" s="2">
        <v>19.68</v>
      </c>
      <c r="F5" s="11">
        <v>3</v>
      </c>
    </row>
    <row r="6" spans="1:7">
      <c r="A6" t="s">
        <v>66</v>
      </c>
      <c r="B6" t="s">
        <v>65</v>
      </c>
      <c r="C6" t="s">
        <v>47</v>
      </c>
      <c r="D6">
        <v>426.4</v>
      </c>
      <c r="E6" s="13">
        <v>20.97</v>
      </c>
      <c r="F6" s="10">
        <v>4.9090909090909092</v>
      </c>
      <c r="G6">
        <v>-4.07</v>
      </c>
    </row>
    <row r="7" spans="1:7">
      <c r="A7" t="s">
        <v>66</v>
      </c>
      <c r="B7" t="s">
        <v>153</v>
      </c>
      <c r="C7" t="s">
        <v>152</v>
      </c>
      <c r="D7">
        <v>295.5</v>
      </c>
      <c r="E7">
        <v>16.91</v>
      </c>
      <c r="F7" s="10">
        <v>2.7</v>
      </c>
    </row>
    <row r="8" spans="1:7">
      <c r="A8" t="s">
        <v>280</v>
      </c>
      <c r="B8" s="2" t="s">
        <v>1035</v>
      </c>
      <c r="C8" s="2" t="s">
        <v>41</v>
      </c>
      <c r="D8" s="2">
        <v>277.3</v>
      </c>
      <c r="E8" s="2">
        <v>15.99</v>
      </c>
      <c r="F8" s="11">
        <f>28/11</f>
        <v>2.5454545454545454</v>
      </c>
    </row>
    <row r="9" spans="1:7">
      <c r="A9" s="2" t="s">
        <v>280</v>
      </c>
      <c r="B9" s="2" t="s">
        <v>215</v>
      </c>
      <c r="C9" s="2" t="s">
        <v>47</v>
      </c>
      <c r="D9" s="2">
        <v>406</v>
      </c>
      <c r="E9" s="14">
        <v>21.04</v>
      </c>
      <c r="F9" s="11">
        <v>4.9000000000000004</v>
      </c>
      <c r="G9" s="2">
        <v>-5.04</v>
      </c>
    </row>
    <row r="10" spans="1:7">
      <c r="A10" s="2" t="s">
        <v>279</v>
      </c>
      <c r="B10" s="2" t="s">
        <v>1035</v>
      </c>
      <c r="C10" s="2" t="s">
        <v>41</v>
      </c>
      <c r="D10" s="2">
        <v>322.7</v>
      </c>
      <c r="E10" s="2">
        <v>17.649999999999999</v>
      </c>
      <c r="F10" s="11">
        <f>23/11</f>
        <v>2.0909090909090908</v>
      </c>
    </row>
    <row r="11" spans="1:7">
      <c r="A11" s="2" t="s">
        <v>279</v>
      </c>
      <c r="B11" s="2" t="s">
        <v>215</v>
      </c>
      <c r="C11" s="2" t="s">
        <v>47</v>
      </c>
      <c r="D11" s="2">
        <v>412.5</v>
      </c>
      <c r="E11" s="14">
        <v>22.44</v>
      </c>
      <c r="F11" s="11">
        <v>4.5</v>
      </c>
      <c r="G11" s="2">
        <v>-4.74</v>
      </c>
    </row>
    <row r="12" spans="1:7">
      <c r="A12" s="2" t="s">
        <v>286</v>
      </c>
      <c r="B12" s="2" t="s">
        <v>1035</v>
      </c>
      <c r="C12" s="2" t="s">
        <v>41</v>
      </c>
      <c r="D12" s="2">
        <v>295.5</v>
      </c>
      <c r="E12" s="2">
        <v>16.829999999999998</v>
      </c>
      <c r="F12" s="11">
        <f>19/11</f>
        <v>1.7272727272727273</v>
      </c>
    </row>
    <row r="13" spans="1:7">
      <c r="A13" s="2" t="s">
        <v>286</v>
      </c>
      <c r="B13" s="2" t="s">
        <v>215</v>
      </c>
      <c r="C13" s="2" t="s">
        <v>47</v>
      </c>
      <c r="D13" s="2">
        <v>239.28571428571428</v>
      </c>
      <c r="E13" s="14">
        <v>20</v>
      </c>
      <c r="F13" s="11">
        <v>2.7142857142857144</v>
      </c>
      <c r="G13" s="2">
        <v>-3.2</v>
      </c>
    </row>
    <row r="14" spans="1:7">
      <c r="A14" t="s">
        <v>52</v>
      </c>
      <c r="B14" t="s">
        <v>156</v>
      </c>
      <c r="C14" t="s">
        <v>74</v>
      </c>
      <c r="D14">
        <v>437</v>
      </c>
      <c r="E14">
        <v>21.78</v>
      </c>
      <c r="F14" s="10">
        <f>70/11</f>
        <v>6.3636363636363633</v>
      </c>
    </row>
    <row r="15" spans="1:7">
      <c r="A15" t="s">
        <v>52</v>
      </c>
      <c r="B15" t="s">
        <v>51</v>
      </c>
      <c r="C15" t="s">
        <v>47</v>
      </c>
      <c r="D15">
        <v>535.6</v>
      </c>
      <c r="E15" s="13">
        <v>24.92</v>
      </c>
      <c r="F15" s="10">
        <v>6.666666666666667</v>
      </c>
      <c r="G15">
        <v>-3.12</v>
      </c>
    </row>
    <row r="16" spans="1:7">
      <c r="A16" t="s">
        <v>54</v>
      </c>
      <c r="B16" t="s">
        <v>51</v>
      </c>
      <c r="C16" t="s">
        <v>47</v>
      </c>
      <c r="D16">
        <v>281.2</v>
      </c>
      <c r="E16" s="13">
        <v>17.010000000000002</v>
      </c>
      <c r="F16" s="10">
        <v>2.75</v>
      </c>
      <c r="G16">
        <v>1.89</v>
      </c>
    </row>
    <row r="17" spans="1:7">
      <c r="A17" t="s">
        <v>54</v>
      </c>
      <c r="B17" t="s">
        <v>120</v>
      </c>
      <c r="C17" t="s">
        <v>41</v>
      </c>
      <c r="D17">
        <v>314.5</v>
      </c>
      <c r="E17">
        <v>18.86</v>
      </c>
      <c r="F17" s="10">
        <v>3.2</v>
      </c>
    </row>
    <row r="18" spans="1:7">
      <c r="A18" s="2" t="s">
        <v>150</v>
      </c>
      <c r="B18" s="2" t="s">
        <v>1021</v>
      </c>
      <c r="C18" s="2" t="s">
        <v>74</v>
      </c>
      <c r="D18" s="2">
        <v>505.7</v>
      </c>
      <c r="E18" s="2">
        <f>(3950/5680)*30</f>
        <v>20.862676056338028</v>
      </c>
      <c r="F18" s="11">
        <f>79/14</f>
        <v>5.6428571428571432</v>
      </c>
    </row>
    <row r="19" spans="1:7">
      <c r="A19" t="s">
        <v>150</v>
      </c>
      <c r="B19" t="s">
        <v>377</v>
      </c>
      <c r="C19" t="s">
        <v>176</v>
      </c>
      <c r="D19">
        <v>329.5</v>
      </c>
      <c r="E19" s="13">
        <v>18.8</v>
      </c>
      <c r="F19" s="10">
        <v>2.1</v>
      </c>
      <c r="G19">
        <v>2.1</v>
      </c>
    </row>
    <row r="20" spans="1:7">
      <c r="A20" t="s">
        <v>84</v>
      </c>
      <c r="B20" t="s">
        <v>302</v>
      </c>
      <c r="C20" t="s">
        <v>176</v>
      </c>
      <c r="D20">
        <v>415</v>
      </c>
      <c r="E20" s="13">
        <v>23.22</v>
      </c>
      <c r="F20" s="10">
        <v>3.2857142857142856</v>
      </c>
      <c r="G20">
        <v>-4.22</v>
      </c>
    </row>
    <row r="21" spans="1:7">
      <c r="A21" s="2" t="s">
        <v>84</v>
      </c>
      <c r="B21" s="2" t="s">
        <v>1029</v>
      </c>
      <c r="C21" s="2" t="s">
        <v>152</v>
      </c>
      <c r="D21" s="2">
        <v>286</v>
      </c>
      <c r="E21" s="2">
        <v>18.989999999999998</v>
      </c>
      <c r="F21" s="11">
        <v>2.9</v>
      </c>
    </row>
    <row r="22" spans="1:7">
      <c r="A22" t="s">
        <v>33</v>
      </c>
      <c r="B22" t="s">
        <v>42</v>
      </c>
      <c r="C22" t="s">
        <v>47</v>
      </c>
      <c r="D22">
        <v>410</v>
      </c>
      <c r="E22" s="13">
        <v>20.65</v>
      </c>
      <c r="F22" s="10">
        <v>3.8888888888888888</v>
      </c>
      <c r="G22">
        <v>-6.25</v>
      </c>
    </row>
    <row r="23" spans="1:7">
      <c r="A23" s="2" t="s">
        <v>33</v>
      </c>
      <c r="B23" t="s">
        <v>33</v>
      </c>
      <c r="C23" t="s">
        <v>41</v>
      </c>
      <c r="D23">
        <v>257.2</v>
      </c>
      <c r="E23">
        <v>14.43</v>
      </c>
      <c r="F23" s="10">
        <v>1</v>
      </c>
    </row>
    <row r="24" spans="1:7">
      <c r="A24" t="s">
        <v>181</v>
      </c>
      <c r="B24" t="s">
        <v>302</v>
      </c>
      <c r="C24" t="s">
        <v>176</v>
      </c>
      <c r="D24">
        <v>581.4</v>
      </c>
      <c r="E24" s="13">
        <v>23.97</v>
      </c>
      <c r="F24" s="10">
        <v>9.1428571428571423</v>
      </c>
      <c r="G24">
        <v>0.43</v>
      </c>
    </row>
    <row r="25" spans="1:7">
      <c r="A25" t="s">
        <v>181</v>
      </c>
      <c r="B25" t="s">
        <v>267</v>
      </c>
      <c r="C25" t="s">
        <v>74</v>
      </c>
      <c r="D25">
        <v>545</v>
      </c>
      <c r="E25">
        <v>24.41</v>
      </c>
      <c r="F25" s="10">
        <v>10.1</v>
      </c>
    </row>
    <row r="26" spans="1:7">
      <c r="A26" t="s">
        <v>180</v>
      </c>
      <c r="B26" t="s">
        <v>302</v>
      </c>
      <c r="C26" t="s">
        <v>176</v>
      </c>
      <c r="D26">
        <v>447.1</v>
      </c>
      <c r="E26" s="13">
        <v>22.45</v>
      </c>
      <c r="F26" s="10">
        <v>3.7142857142857144</v>
      </c>
      <c r="G26">
        <v>0.05</v>
      </c>
    </row>
    <row r="27" spans="1:7">
      <c r="A27" t="s">
        <v>180</v>
      </c>
      <c r="B27" t="s">
        <v>267</v>
      </c>
      <c r="C27" t="s">
        <v>74</v>
      </c>
      <c r="D27">
        <v>445</v>
      </c>
      <c r="E27">
        <v>22.5</v>
      </c>
      <c r="F27" s="10">
        <v>6.9</v>
      </c>
    </row>
    <row r="28" spans="1:7">
      <c r="A28" t="s">
        <v>143</v>
      </c>
      <c r="B28" t="s">
        <v>186</v>
      </c>
      <c r="C28" t="s">
        <v>47</v>
      </c>
      <c r="D28">
        <v>462.1</v>
      </c>
      <c r="E28" s="13">
        <v>22.87</v>
      </c>
      <c r="F28" s="10">
        <v>7.8571428571428568</v>
      </c>
      <c r="G28">
        <v>1.03</v>
      </c>
    </row>
    <row r="29" spans="1:7">
      <c r="A29" t="s">
        <v>143</v>
      </c>
      <c r="B29" t="s">
        <v>84</v>
      </c>
      <c r="C29" t="s">
        <v>74</v>
      </c>
      <c r="D29">
        <v>503.6</v>
      </c>
      <c r="E29">
        <v>23.86</v>
      </c>
      <c r="F29" s="10">
        <v>8</v>
      </c>
    </row>
    <row r="30" spans="1:7">
      <c r="A30" t="s">
        <v>145</v>
      </c>
      <c r="B30" t="s">
        <v>186</v>
      </c>
      <c r="C30" t="s">
        <v>47</v>
      </c>
      <c r="D30">
        <v>535</v>
      </c>
      <c r="E30" s="13">
        <v>24.04</v>
      </c>
      <c r="F30" s="10">
        <v>7.7142857142857144</v>
      </c>
      <c r="G30">
        <v>-5.74</v>
      </c>
    </row>
    <row r="31" spans="1:7">
      <c r="A31" t="s">
        <v>145</v>
      </c>
      <c r="B31" t="s">
        <v>84</v>
      </c>
      <c r="C31" t="s">
        <v>74</v>
      </c>
      <c r="D31">
        <v>338.3</v>
      </c>
      <c r="E31">
        <v>18.28</v>
      </c>
      <c r="F31" s="10">
        <f>39/9</f>
        <v>4.333333333333333</v>
      </c>
    </row>
    <row r="32" spans="1:7">
      <c r="A32" t="s">
        <v>70</v>
      </c>
      <c r="B32" t="s">
        <v>288</v>
      </c>
      <c r="C32" t="s">
        <v>41</v>
      </c>
      <c r="D32">
        <v>289.5</v>
      </c>
      <c r="E32">
        <v>18.23</v>
      </c>
      <c r="F32" s="10">
        <f>21/11</f>
        <v>1.9090909090909092</v>
      </c>
    </row>
    <row r="33" spans="1:7">
      <c r="A33" t="s">
        <v>70</v>
      </c>
      <c r="B33" t="s">
        <v>65</v>
      </c>
      <c r="C33" t="s">
        <v>47</v>
      </c>
      <c r="D33">
        <v>428.9</v>
      </c>
      <c r="E33" s="13">
        <v>22.52</v>
      </c>
      <c r="F33" s="10">
        <v>4.4444444444444446</v>
      </c>
      <c r="G33">
        <v>-4.32</v>
      </c>
    </row>
    <row r="34" spans="1:7">
      <c r="A34" s="2" t="s">
        <v>1036</v>
      </c>
      <c r="B34" s="2" t="s">
        <v>1035</v>
      </c>
      <c r="C34" s="2" t="s">
        <v>41</v>
      </c>
      <c r="D34" s="2">
        <v>338.2</v>
      </c>
      <c r="E34" s="2">
        <v>18.82</v>
      </c>
      <c r="F34" s="11">
        <f>16/11</f>
        <v>1.4545454545454546</v>
      </c>
    </row>
    <row r="35" spans="1:7">
      <c r="A35" s="2" t="s">
        <v>282</v>
      </c>
      <c r="B35" s="2" t="s">
        <v>215</v>
      </c>
      <c r="C35" s="2" t="s">
        <v>47</v>
      </c>
      <c r="D35" s="2">
        <v>455</v>
      </c>
      <c r="E35" s="14">
        <v>22.96</v>
      </c>
      <c r="F35" s="11">
        <v>4.7</v>
      </c>
      <c r="G35" s="2">
        <v>-4.16</v>
      </c>
    </row>
    <row r="36" spans="1:7">
      <c r="A36" t="s">
        <v>0</v>
      </c>
      <c r="B36" t="s">
        <v>14</v>
      </c>
      <c r="C36" t="s">
        <v>74</v>
      </c>
      <c r="D36">
        <v>531.4</v>
      </c>
      <c r="E36">
        <v>20.43</v>
      </c>
      <c r="F36" s="10">
        <f>32/7</f>
        <v>4.5714285714285712</v>
      </c>
    </row>
    <row r="37" spans="1:7">
      <c r="A37" t="s">
        <v>189</v>
      </c>
      <c r="B37" t="s">
        <v>186</v>
      </c>
      <c r="C37" t="s">
        <v>47</v>
      </c>
      <c r="D37">
        <v>548.1</v>
      </c>
      <c r="E37" s="13">
        <v>24.73</v>
      </c>
      <c r="F37" s="10">
        <v>7.5714285714285712</v>
      </c>
      <c r="G37">
        <v>-4.33</v>
      </c>
    </row>
    <row r="38" spans="1:7">
      <c r="A38" t="s">
        <v>72</v>
      </c>
      <c r="B38" t="s">
        <v>288</v>
      </c>
      <c r="C38" t="s">
        <v>41</v>
      </c>
      <c r="D38">
        <v>315.5</v>
      </c>
      <c r="E38">
        <v>18.510000000000002</v>
      </c>
      <c r="F38" s="10">
        <f>29/12</f>
        <v>2.4166666666666665</v>
      </c>
    </row>
    <row r="39" spans="1:7">
      <c r="A39" t="s">
        <v>72</v>
      </c>
      <c r="B39" t="s">
        <v>65</v>
      </c>
      <c r="C39" t="s">
        <v>47</v>
      </c>
      <c r="D39">
        <v>464.5</v>
      </c>
      <c r="E39" s="13">
        <v>24.38</v>
      </c>
      <c r="F39" s="10">
        <v>6</v>
      </c>
      <c r="G39">
        <v>-5.88</v>
      </c>
    </row>
    <row r="40" spans="1:7">
      <c r="A40" t="s">
        <v>73</v>
      </c>
      <c r="B40" t="s">
        <v>288</v>
      </c>
      <c r="C40" t="s">
        <v>41</v>
      </c>
      <c r="D40">
        <v>400.4</v>
      </c>
      <c r="E40">
        <v>20.39</v>
      </c>
      <c r="F40" s="10">
        <f>41/12</f>
        <v>3.4166666666666665</v>
      </c>
    </row>
    <row r="41" spans="1:7">
      <c r="A41" s="2" t="s">
        <v>73</v>
      </c>
      <c r="B41" s="2" t="s">
        <v>241</v>
      </c>
      <c r="C41" s="2" t="s">
        <v>176</v>
      </c>
      <c r="D41" s="2">
        <v>475</v>
      </c>
      <c r="E41" s="14">
        <v>24.1</v>
      </c>
      <c r="F41" s="11">
        <v>6.9</v>
      </c>
      <c r="G41" s="2">
        <v>-3.7</v>
      </c>
    </row>
    <row r="42" spans="1:7">
      <c r="A42" t="s">
        <v>142</v>
      </c>
      <c r="B42" t="s">
        <v>84</v>
      </c>
      <c r="C42" t="s">
        <v>74</v>
      </c>
      <c r="D42">
        <v>527.70000000000005</v>
      </c>
      <c r="E42">
        <v>23.52</v>
      </c>
      <c r="F42" s="10">
        <f>95/11</f>
        <v>8.6363636363636367</v>
      </c>
    </row>
    <row r="43" spans="1:7">
      <c r="A43" t="s">
        <v>81</v>
      </c>
      <c r="B43" t="s">
        <v>302</v>
      </c>
      <c r="C43" t="s">
        <v>176</v>
      </c>
      <c r="D43">
        <v>564.29999999999995</v>
      </c>
      <c r="E43" s="13">
        <v>24.31</v>
      </c>
      <c r="F43" s="10">
        <v>8.8571428571428577</v>
      </c>
      <c r="G43">
        <v>-0.81</v>
      </c>
    </row>
    <row r="44" spans="1:7">
      <c r="A44" s="2" t="s">
        <v>528</v>
      </c>
      <c r="B44" s="2" t="s">
        <v>1029</v>
      </c>
      <c r="C44" s="2" t="s">
        <v>152</v>
      </c>
      <c r="D44" s="2">
        <v>439.1</v>
      </c>
      <c r="E44" s="2">
        <v>22.4</v>
      </c>
      <c r="F44" s="11">
        <f>49/11</f>
        <v>4.4545454545454541</v>
      </c>
    </row>
    <row r="45" spans="1:7">
      <c r="A45" t="s">
        <v>117</v>
      </c>
      <c r="B45" t="s">
        <v>302</v>
      </c>
      <c r="C45" t="s">
        <v>176</v>
      </c>
      <c r="D45">
        <v>568.6</v>
      </c>
      <c r="E45" s="13">
        <v>24.72</v>
      </c>
      <c r="F45" s="10">
        <v>8.1428571428571423</v>
      </c>
      <c r="G45">
        <v>-2.3199999999999998</v>
      </c>
    </row>
    <row r="46" spans="1:7">
      <c r="A46" t="s">
        <v>91</v>
      </c>
      <c r="B46" t="s">
        <v>288</v>
      </c>
      <c r="C46" t="s">
        <v>41</v>
      </c>
      <c r="D46">
        <v>318.3</v>
      </c>
      <c r="E46">
        <v>20.16</v>
      </c>
      <c r="F46" s="10">
        <f>17/12</f>
        <v>1.4166666666666667</v>
      </c>
    </row>
    <row r="47" spans="1:7">
      <c r="A47" s="2" t="s">
        <v>91</v>
      </c>
      <c r="B47" s="2" t="s">
        <v>241</v>
      </c>
      <c r="C47" s="2" t="s">
        <v>176</v>
      </c>
      <c r="D47" s="2">
        <v>527.98</v>
      </c>
      <c r="E47" s="14">
        <v>24.026845637583893</v>
      </c>
      <c r="F47" s="11">
        <v>5.6</v>
      </c>
      <c r="G47" s="2">
        <v>-3.83</v>
      </c>
    </row>
    <row r="48" spans="1:7">
      <c r="A48" t="s">
        <v>85</v>
      </c>
      <c r="B48" t="s">
        <v>84</v>
      </c>
      <c r="C48" t="s">
        <v>74</v>
      </c>
      <c r="D48">
        <v>340.6</v>
      </c>
      <c r="E48">
        <v>18.559999999999999</v>
      </c>
      <c r="F48" s="10">
        <v>5</v>
      </c>
    </row>
    <row r="49" spans="1:7">
      <c r="A49" t="s">
        <v>308</v>
      </c>
      <c r="B49" t="s">
        <v>302</v>
      </c>
      <c r="C49" t="s">
        <v>176</v>
      </c>
      <c r="D49">
        <v>357.9</v>
      </c>
      <c r="E49" s="13">
        <v>22.34</v>
      </c>
      <c r="F49" s="10">
        <v>2.8571428571428572</v>
      </c>
      <c r="G49">
        <v>-3.74</v>
      </c>
    </row>
    <row r="50" spans="1:7">
      <c r="A50" t="s">
        <v>115</v>
      </c>
      <c r="B50" t="s">
        <v>240</v>
      </c>
      <c r="C50" t="s">
        <v>152</v>
      </c>
      <c r="D50">
        <v>478.2</v>
      </c>
      <c r="E50">
        <v>20</v>
      </c>
      <c r="F50" s="10">
        <f>35/11</f>
        <v>3.1818181818181817</v>
      </c>
    </row>
    <row r="51" spans="1:7">
      <c r="A51" t="s">
        <v>115</v>
      </c>
      <c r="B51" t="s">
        <v>302</v>
      </c>
      <c r="C51" t="s">
        <v>176</v>
      </c>
      <c r="D51">
        <v>540.70000000000005</v>
      </c>
      <c r="E51" s="13">
        <v>24.72</v>
      </c>
      <c r="F51" s="10">
        <v>5</v>
      </c>
      <c r="G51">
        <v>-4.72</v>
      </c>
    </row>
    <row r="52" spans="1:7">
      <c r="A52" s="2" t="s">
        <v>44</v>
      </c>
      <c r="B52" t="s">
        <v>33</v>
      </c>
      <c r="C52" t="s">
        <v>41</v>
      </c>
      <c r="D52">
        <v>218</v>
      </c>
      <c r="E52">
        <v>14.06</v>
      </c>
      <c r="F52" s="10">
        <v>1.4</v>
      </c>
    </row>
    <row r="53" spans="1:7">
      <c r="A53" t="s">
        <v>44</v>
      </c>
      <c r="B53" t="s">
        <v>42</v>
      </c>
      <c r="C53" t="s">
        <v>47</v>
      </c>
      <c r="D53">
        <v>370</v>
      </c>
      <c r="E53" s="13">
        <v>20.93</v>
      </c>
      <c r="F53" s="10">
        <v>2.2000000000000002</v>
      </c>
      <c r="G53">
        <v>-6.83</v>
      </c>
    </row>
    <row r="54" spans="1:7">
      <c r="A54" s="2" t="s">
        <v>262</v>
      </c>
      <c r="B54" s="2" t="s">
        <v>1029</v>
      </c>
      <c r="C54" s="2" t="s">
        <v>152</v>
      </c>
      <c r="D54" s="2">
        <v>312.2</v>
      </c>
      <c r="E54" s="2">
        <v>17.43</v>
      </c>
      <c r="F54" s="11">
        <v>1.9</v>
      </c>
    </row>
    <row r="55" spans="1:7">
      <c r="A55" t="s">
        <v>262</v>
      </c>
      <c r="B55" t="s">
        <v>302</v>
      </c>
      <c r="C55" t="s">
        <v>176</v>
      </c>
      <c r="D55">
        <v>315</v>
      </c>
      <c r="E55" s="13">
        <v>17.12</v>
      </c>
      <c r="F55" s="10">
        <v>1.8571428571428572</v>
      </c>
      <c r="G55">
        <v>0.28000000000000003</v>
      </c>
    </row>
    <row r="56" spans="1:7">
      <c r="A56" s="2" t="s">
        <v>1026</v>
      </c>
      <c r="B56" s="2" t="s">
        <v>1025</v>
      </c>
      <c r="C56" s="2" t="s">
        <v>152</v>
      </c>
      <c r="D56" s="2">
        <v>298.3</v>
      </c>
      <c r="E56" s="2">
        <v>17.420000000000002</v>
      </c>
      <c r="F56" s="11">
        <f>13/6</f>
        <v>2.1666666666666665</v>
      </c>
    </row>
    <row r="57" spans="1:7">
      <c r="A57" s="2" t="s">
        <v>531</v>
      </c>
      <c r="B57" s="2" t="s">
        <v>530</v>
      </c>
      <c r="C57" s="2" t="s">
        <v>176</v>
      </c>
      <c r="D57" s="2">
        <v>431.5</v>
      </c>
      <c r="E57" s="14">
        <v>22.56</v>
      </c>
      <c r="F57" s="11">
        <v>3.1</v>
      </c>
      <c r="G57" s="2">
        <v>-5.16</v>
      </c>
    </row>
    <row r="58" spans="1:7">
      <c r="A58" t="s">
        <v>71</v>
      </c>
      <c r="B58" t="s">
        <v>441</v>
      </c>
      <c r="C58" t="s">
        <v>1061</v>
      </c>
      <c r="D58">
        <v>366.8</v>
      </c>
      <c r="E58">
        <v>19.739999999999998</v>
      </c>
      <c r="F58" s="10">
        <f>35/11</f>
        <v>3.1818181818181817</v>
      </c>
    </row>
    <row r="59" spans="1:7">
      <c r="A59" s="2" t="s">
        <v>71</v>
      </c>
      <c r="B59" s="2" t="s">
        <v>241</v>
      </c>
      <c r="C59" s="2" t="s">
        <v>176</v>
      </c>
      <c r="D59" s="2">
        <v>450.98</v>
      </c>
      <c r="E59" s="14">
        <v>22.748091603053435</v>
      </c>
      <c r="F59" s="11">
        <v>5.4</v>
      </c>
      <c r="G59" s="2">
        <v>-3.05</v>
      </c>
    </row>
    <row r="60" spans="1:7">
      <c r="A60" s="2" t="s">
        <v>149</v>
      </c>
      <c r="B60" t="s">
        <v>132</v>
      </c>
      <c r="C60" t="s">
        <v>41</v>
      </c>
      <c r="D60">
        <v>314.10000000000002</v>
      </c>
      <c r="E60">
        <v>14.1</v>
      </c>
      <c r="F60" s="10">
        <v>0.82</v>
      </c>
    </row>
    <row r="61" spans="1:7">
      <c r="A61" t="s">
        <v>149</v>
      </c>
      <c r="B61" t="s">
        <v>377</v>
      </c>
      <c r="C61" t="s">
        <v>176</v>
      </c>
      <c r="D61">
        <v>372.5</v>
      </c>
      <c r="E61" s="13">
        <v>20.100000000000001</v>
      </c>
      <c r="F61" s="10">
        <v>2.5</v>
      </c>
      <c r="G61">
        <v>-6</v>
      </c>
    </row>
    <row r="62" spans="1:7">
      <c r="A62" s="2" t="s">
        <v>265</v>
      </c>
      <c r="B62" s="2" t="s">
        <v>1029</v>
      </c>
      <c r="C62" s="2" t="s">
        <v>152</v>
      </c>
      <c r="D62" s="2">
        <v>363</v>
      </c>
      <c r="E62" s="2">
        <v>18.66</v>
      </c>
      <c r="F62" s="11">
        <v>3.7</v>
      </c>
    </row>
    <row r="63" spans="1:7">
      <c r="A63" t="s">
        <v>305</v>
      </c>
      <c r="B63" t="s">
        <v>302</v>
      </c>
      <c r="C63" t="s">
        <v>176</v>
      </c>
      <c r="D63">
        <v>466.4</v>
      </c>
      <c r="E63" s="13">
        <v>23.4</v>
      </c>
      <c r="F63" s="10">
        <v>4.5714285714285712</v>
      </c>
      <c r="G63">
        <v>-4.7</v>
      </c>
    </row>
    <row r="64" spans="1:7">
      <c r="A64" s="2" t="s">
        <v>285</v>
      </c>
      <c r="B64" s="2" t="s">
        <v>1035</v>
      </c>
      <c r="C64" s="2" t="s">
        <v>41</v>
      </c>
      <c r="D64" s="2">
        <v>317.3</v>
      </c>
      <c r="E64" s="2">
        <v>19.2</v>
      </c>
      <c r="F64" s="11">
        <f>33/11</f>
        <v>3</v>
      </c>
    </row>
    <row r="65" spans="1:7">
      <c r="A65" s="2" t="s">
        <v>285</v>
      </c>
      <c r="B65" s="2" t="s">
        <v>215</v>
      </c>
      <c r="C65" s="2" t="s">
        <v>47</v>
      </c>
      <c r="D65" s="2">
        <v>440</v>
      </c>
      <c r="E65" s="14">
        <v>22.31</v>
      </c>
      <c r="F65" s="11">
        <v>5.625</v>
      </c>
      <c r="G65" s="2">
        <v>-3.11</v>
      </c>
    </row>
    <row r="66" spans="1:7">
      <c r="A66" t="s">
        <v>69</v>
      </c>
      <c r="B66" t="s">
        <v>153</v>
      </c>
      <c r="C66" t="s">
        <v>152</v>
      </c>
      <c r="D66">
        <v>351.5</v>
      </c>
      <c r="E66">
        <v>19.329999999999998</v>
      </c>
      <c r="F66" s="10">
        <v>1.7</v>
      </c>
    </row>
    <row r="67" spans="1:7">
      <c r="A67" t="s">
        <v>69</v>
      </c>
      <c r="B67" t="s">
        <v>65</v>
      </c>
      <c r="C67" t="s">
        <v>47</v>
      </c>
      <c r="D67">
        <v>376.1</v>
      </c>
      <c r="E67" s="13">
        <v>20.98</v>
      </c>
      <c r="F67" s="10">
        <v>3.8888888888888888</v>
      </c>
      <c r="G67">
        <v>-1.68</v>
      </c>
    </row>
    <row r="69" spans="1:7">
      <c r="F69" s="10"/>
    </row>
    <row r="70" spans="1:7">
      <c r="A70" s="2"/>
      <c r="B70" s="2"/>
      <c r="C70" s="2"/>
      <c r="D70" s="2"/>
      <c r="E70" s="14"/>
      <c r="F70" s="11"/>
    </row>
    <row r="71" spans="1:7">
      <c r="A71" s="2"/>
      <c r="B71" s="2"/>
      <c r="C71" s="2"/>
      <c r="D71" s="2"/>
      <c r="E71" s="14"/>
      <c r="F71" s="11"/>
    </row>
  </sheetData>
  <sortState ref="A2:F78">
    <sortCondition ref="A4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Staaaaaaaats</vt:lpstr>
      <vt:lpstr>GSAC</vt:lpstr>
      <vt:lpstr>Tourneys to Add</vt:lpstr>
      <vt:lpstr>Tourneys Added</vt:lpstr>
      <vt:lpstr>Teams at Tourneys</vt:lpstr>
      <vt:lpstr>ACF Fall</vt:lpstr>
      <vt:lpstr>BATE</vt:lpstr>
      <vt:lpstr>DAFT</vt:lpstr>
      <vt:lpstr>ISA</vt:lpstr>
      <vt:lpstr>Delta Burke</vt:lpstr>
      <vt:lpstr>FKT</vt:lpstr>
      <vt:lpstr>HFT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Morlan</dc:creator>
  <cp:lastModifiedBy>Fred Morlan</cp:lastModifiedBy>
  <dcterms:created xsi:type="dcterms:W3CDTF">2010-10-03T01:30:31Z</dcterms:created>
  <dcterms:modified xsi:type="dcterms:W3CDTF">2010-12-22T03:25:01Z</dcterms:modified>
</cp:coreProperties>
</file>